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530" windowHeight="9435"/>
  </bookViews>
  <sheets>
    <sheet name=" INFO-INSTRUCTIONS" sheetId="10" r:id="rId1"/>
    <sheet name="LMV3 Basic" sheetId="9" r:id="rId2"/>
    <sheet name="LMV51 Basic" sheetId="8" r:id="rId3"/>
    <sheet name="LMV52 O2 Trim" sheetId="7" r:id="rId4"/>
    <sheet name="LMV52 O2 Trim Mesh Burner" sheetId="6" r:id="rId5"/>
    <sheet name="Manipulated Variable" sheetId="11" r:id="rId6"/>
  </sheets>
  <definedNames>
    <definedName name="_xlnm.Print_Area" localSheetId="1">'LMV3 Basic'!$A$2:$W$25</definedName>
    <definedName name="_xlnm.Print_Area" localSheetId="2">'LMV51 Basic'!$A$3:$V$27</definedName>
    <definedName name="_xlnm.Print_Area" localSheetId="3">'LMV52 O2 Trim'!$A$3:$AA$65</definedName>
    <definedName name="_xlnm.Print_Area" localSheetId="4">'LMV52 O2 Trim Mesh Burner'!$A$2:$Y$64</definedName>
  </definedNames>
  <calcPr calcId="145621"/>
</workbook>
</file>

<file path=xl/calcChain.xml><?xml version="1.0" encoding="utf-8"?>
<calcChain xmlns="http://schemas.openxmlformats.org/spreadsheetml/2006/main">
  <c r="I16" i="11" l="1"/>
  <c r="I20" i="11" s="1"/>
  <c r="I15" i="11"/>
  <c r="I19" i="11" s="1"/>
  <c r="C17" i="9" l="1"/>
  <c r="C18" i="9" s="1"/>
  <c r="C19" i="9" s="1"/>
  <c r="C20" i="9" s="1"/>
  <c r="C21" i="9" s="1"/>
  <c r="C22" i="9" s="1"/>
  <c r="C23" i="9" s="1"/>
  <c r="C24" i="9" s="1"/>
  <c r="C25" i="9" s="1"/>
  <c r="D25" i="9" s="1"/>
  <c r="D18" i="8"/>
  <c r="C58" i="7"/>
  <c r="B58" i="7"/>
  <c r="C57" i="7"/>
  <c r="B57" i="7"/>
  <c r="C56" i="7"/>
  <c r="B56" i="7"/>
  <c r="C55" i="7"/>
  <c r="B55" i="7"/>
  <c r="C54" i="7"/>
  <c r="B54" i="7"/>
  <c r="C53" i="7"/>
  <c r="B53" i="7"/>
  <c r="C52" i="7"/>
  <c r="B52" i="7"/>
  <c r="C51" i="7"/>
  <c r="B51" i="7"/>
  <c r="C50" i="7"/>
  <c r="B50" i="7"/>
  <c r="D19" i="7"/>
  <c r="F19" i="7" s="1"/>
  <c r="Q20" i="7"/>
  <c r="Q21" i="7"/>
  <c r="Q22" i="7"/>
  <c r="Q23" i="7"/>
  <c r="Q24" i="7"/>
  <c r="Q25" i="7"/>
  <c r="Q26" i="7"/>
  <c r="Q27" i="7"/>
  <c r="Q28" i="7"/>
  <c r="Q19" i="7"/>
  <c r="E44" i="7"/>
  <c r="E43" i="7"/>
  <c r="E42" i="7"/>
  <c r="E41" i="7"/>
  <c r="E40" i="7"/>
  <c r="E39" i="7"/>
  <c r="E38" i="7"/>
  <c r="E37" i="7"/>
  <c r="E36" i="7"/>
  <c r="D17" i="9" l="1"/>
  <c r="D52" i="7"/>
  <c r="D51" i="7"/>
  <c r="D53" i="7"/>
  <c r="D57" i="7"/>
  <c r="F25" i="9"/>
  <c r="D20" i="9"/>
  <c r="F18" i="9"/>
  <c r="D21" i="9"/>
  <c r="F19" i="9"/>
  <c r="F23" i="9"/>
  <c r="D22" i="9"/>
  <c r="F17" i="9"/>
  <c r="F21" i="9"/>
  <c r="D24" i="9"/>
  <c r="D18" i="9"/>
  <c r="F22" i="9"/>
  <c r="D23" i="9"/>
  <c r="D19" i="9"/>
  <c r="F24" i="9"/>
  <c r="F20" i="9"/>
  <c r="H18" i="8"/>
  <c r="F18" i="8"/>
  <c r="E18" i="8"/>
  <c r="D19" i="8"/>
  <c r="D55" i="7"/>
  <c r="D56" i="7"/>
  <c r="D50" i="7"/>
  <c r="D58" i="7"/>
  <c r="D54" i="7"/>
  <c r="D20" i="7"/>
  <c r="D21" i="7" s="1"/>
  <c r="D22" i="7" s="1"/>
  <c r="D23" i="7" s="1"/>
  <c r="D24" i="7" s="1"/>
  <c r="D25" i="7" s="1"/>
  <c r="D26" i="7" s="1"/>
  <c r="D27" i="7" s="1"/>
  <c r="D28" i="7" s="1"/>
  <c r="AA6" i="7" s="1"/>
  <c r="E19" i="7"/>
  <c r="C35" i="7" s="1"/>
  <c r="G19" i="7"/>
  <c r="I19" i="7"/>
  <c r="J19" i="7" s="1"/>
  <c r="H19" i="7"/>
  <c r="C58" i="6"/>
  <c r="B58" i="6"/>
  <c r="C57" i="6"/>
  <c r="B57" i="6"/>
  <c r="C56" i="6"/>
  <c r="B56" i="6"/>
  <c r="C55" i="6"/>
  <c r="B55" i="6"/>
  <c r="C54" i="6"/>
  <c r="B54" i="6"/>
  <c r="C53" i="6"/>
  <c r="B53" i="6"/>
  <c r="C52" i="6"/>
  <c r="B52" i="6"/>
  <c r="C51" i="6"/>
  <c r="B51" i="6"/>
  <c r="C50" i="6"/>
  <c r="B50" i="6"/>
  <c r="Q29" i="6"/>
  <c r="Q28" i="6"/>
  <c r="Q27" i="6"/>
  <c r="Q26" i="6"/>
  <c r="Q25" i="6"/>
  <c r="Q24" i="6"/>
  <c r="Q23" i="6"/>
  <c r="Q22" i="6"/>
  <c r="Q21" i="6"/>
  <c r="Q20" i="6" s="1"/>
  <c r="D21" i="6"/>
  <c r="H21" i="6" s="1"/>
  <c r="E17" i="9" l="1"/>
  <c r="G17" i="9"/>
  <c r="H17" i="9" s="1"/>
  <c r="D54" i="6"/>
  <c r="D56" i="6"/>
  <c r="D58" i="6"/>
  <c r="G18" i="8"/>
  <c r="I18" i="8"/>
  <c r="J18" i="8" s="1"/>
  <c r="E19" i="8"/>
  <c r="F19" i="8"/>
  <c r="H19" i="8"/>
  <c r="D20" i="8"/>
  <c r="E51" i="7"/>
  <c r="F50" i="7"/>
  <c r="E57" i="7"/>
  <c r="E53" i="7"/>
  <c r="E50" i="7"/>
  <c r="E55" i="7"/>
  <c r="E58" i="7"/>
  <c r="E56" i="7"/>
  <c r="E54" i="7"/>
  <c r="E52" i="7"/>
  <c r="E21" i="6"/>
  <c r="C37" i="6" s="1"/>
  <c r="A50" i="6" s="1"/>
  <c r="F21" i="6"/>
  <c r="G21" i="6" s="1"/>
  <c r="D20" i="6"/>
  <c r="D50" i="6"/>
  <c r="D51" i="6"/>
  <c r="D53" i="6"/>
  <c r="D55" i="6"/>
  <c r="D52" i="6"/>
  <c r="D57" i="6"/>
  <c r="D22" i="6"/>
  <c r="E18" i="9" l="1"/>
  <c r="G18" i="9"/>
  <c r="H18" i="9" s="1"/>
  <c r="G19" i="9"/>
  <c r="H19" i="9" s="1"/>
  <c r="E19" i="9"/>
  <c r="F50" i="6"/>
  <c r="F20" i="8"/>
  <c r="E20" i="8"/>
  <c r="H20" i="8"/>
  <c r="D21" i="8"/>
  <c r="I19" i="8"/>
  <c r="J19" i="8" s="1"/>
  <c r="G19" i="8"/>
  <c r="H22" i="6"/>
  <c r="E22" i="6"/>
  <c r="C38" i="6" s="1"/>
  <c r="A51" i="6" s="1"/>
  <c r="F22" i="6"/>
  <c r="H20" i="6"/>
  <c r="E20" i="6"/>
  <c r="C36" i="6" s="1"/>
  <c r="I21" i="6"/>
  <c r="J21" i="6" s="1"/>
  <c r="F20" i="6"/>
  <c r="G20" i="6" s="1"/>
  <c r="E50" i="6"/>
  <c r="E58" i="6"/>
  <c r="E54" i="6"/>
  <c r="E51" i="6"/>
  <c r="E52" i="6"/>
  <c r="E53" i="6"/>
  <c r="E55" i="6"/>
  <c r="E56" i="6"/>
  <c r="E57" i="6"/>
  <c r="D23" i="6"/>
  <c r="G20" i="9" l="1"/>
  <c r="H20" i="9" s="1"/>
  <c r="E20" i="9"/>
  <c r="I20" i="8"/>
  <c r="J20" i="8" s="1"/>
  <c r="G20" i="8"/>
  <c r="F21" i="8"/>
  <c r="E21" i="8"/>
  <c r="H21" i="8"/>
  <c r="D22" i="8"/>
  <c r="E23" i="6"/>
  <c r="C39" i="6" s="1"/>
  <c r="A52" i="6" s="1"/>
  <c r="F23" i="6"/>
  <c r="H23" i="6"/>
  <c r="I20" i="6"/>
  <c r="J20" i="6" s="1"/>
  <c r="D24" i="6"/>
  <c r="G22" i="6"/>
  <c r="I22" i="6"/>
  <c r="J22" i="6" s="1"/>
  <c r="E21" i="9" l="1"/>
  <c r="G21" i="9"/>
  <c r="H21" i="9" s="1"/>
  <c r="F22" i="8"/>
  <c r="E22" i="8"/>
  <c r="H22" i="8"/>
  <c r="D23" i="8"/>
  <c r="G21" i="8"/>
  <c r="I21" i="8"/>
  <c r="J21" i="8" s="1"/>
  <c r="E24" i="6"/>
  <c r="C40" i="6" s="1"/>
  <c r="A53" i="6" s="1"/>
  <c r="F24" i="6"/>
  <c r="H24" i="6"/>
  <c r="D25" i="6"/>
  <c r="G23" i="6"/>
  <c r="I23" i="6"/>
  <c r="J23" i="6" s="1"/>
  <c r="E22" i="9" l="1"/>
  <c r="G22" i="9"/>
  <c r="H22" i="9" s="1"/>
  <c r="G22" i="8"/>
  <c r="I22" i="8"/>
  <c r="J22" i="8" s="1"/>
  <c r="F23" i="8"/>
  <c r="H23" i="8"/>
  <c r="E23" i="8"/>
  <c r="D24" i="8"/>
  <c r="H25" i="6"/>
  <c r="E25" i="6"/>
  <c r="C41" i="6" s="1"/>
  <c r="A54" i="6" s="1"/>
  <c r="F25" i="6"/>
  <c r="D26" i="6"/>
  <c r="G24" i="6"/>
  <c r="I24" i="6"/>
  <c r="J24" i="6" s="1"/>
  <c r="G23" i="9" l="1"/>
  <c r="H23" i="9" s="1"/>
  <c r="E23" i="9"/>
  <c r="F24" i="8"/>
  <c r="E24" i="8"/>
  <c r="H24" i="8"/>
  <c r="D25" i="8"/>
  <c r="G23" i="8"/>
  <c r="I23" i="8"/>
  <c r="J23" i="8" s="1"/>
  <c r="H26" i="6"/>
  <c r="E26" i="6"/>
  <c r="C42" i="6" s="1"/>
  <c r="A55" i="6" s="1"/>
  <c r="F26" i="6"/>
  <c r="D27" i="6"/>
  <c r="G25" i="6"/>
  <c r="I25" i="6"/>
  <c r="J25" i="6" s="1"/>
  <c r="G24" i="9" l="1"/>
  <c r="H24" i="9" s="1"/>
  <c r="E24" i="9"/>
  <c r="I24" i="8"/>
  <c r="J24" i="8" s="1"/>
  <c r="G24" i="8"/>
  <c r="F25" i="8"/>
  <c r="E25" i="8"/>
  <c r="H25" i="8"/>
  <c r="D26" i="8"/>
  <c r="H27" i="6"/>
  <c r="E27" i="6"/>
  <c r="C43" i="6" s="1"/>
  <c r="A56" i="6" s="1"/>
  <c r="F27" i="6"/>
  <c r="D28" i="6"/>
  <c r="G26" i="6"/>
  <c r="I26" i="6"/>
  <c r="J26" i="6" s="1"/>
  <c r="E25" i="9" l="1"/>
  <c r="G25" i="9"/>
  <c r="H25" i="9" s="1"/>
  <c r="F26" i="8"/>
  <c r="E26" i="8"/>
  <c r="H26" i="8"/>
  <c r="D27" i="8"/>
  <c r="Y5" i="8" s="1"/>
  <c r="I25" i="8"/>
  <c r="J25" i="8" s="1"/>
  <c r="G25" i="8"/>
  <c r="E28" i="6"/>
  <c r="C44" i="6" s="1"/>
  <c r="A57" i="6" s="1"/>
  <c r="F28" i="6"/>
  <c r="H28" i="6"/>
  <c r="D29" i="6"/>
  <c r="AA6" i="6" s="1"/>
  <c r="G27" i="6"/>
  <c r="I27" i="6"/>
  <c r="J27" i="6" s="1"/>
  <c r="F27" i="8" l="1"/>
  <c r="E27" i="8"/>
  <c r="H27" i="8"/>
  <c r="I26" i="8"/>
  <c r="J26" i="8" s="1"/>
  <c r="G26" i="8"/>
  <c r="E29" i="6"/>
  <c r="C45" i="6" s="1"/>
  <c r="A58" i="6" s="1"/>
  <c r="H29" i="6"/>
  <c r="F29" i="6"/>
  <c r="G28" i="6"/>
  <c r="I28" i="6"/>
  <c r="J28" i="6" s="1"/>
  <c r="I27" i="8" l="1"/>
  <c r="J27" i="8" s="1"/>
  <c r="G27" i="8"/>
  <c r="G29" i="6"/>
  <c r="I29" i="6"/>
  <c r="J29" i="6" s="1"/>
  <c r="D38" i="7" l="1"/>
  <c r="D36" i="7"/>
  <c r="D37" i="7"/>
  <c r="D42" i="7"/>
  <c r="D44" i="7"/>
  <c r="D40" i="7"/>
  <c r="D41" i="7"/>
  <c r="D39" i="7"/>
  <c r="D43" i="7"/>
  <c r="H20" i="7"/>
  <c r="F20" i="7"/>
  <c r="I20" i="7" s="1"/>
  <c r="J20" i="7" s="1"/>
  <c r="E20" i="7"/>
  <c r="C36" i="7" s="1"/>
  <c r="A50" i="7" s="1"/>
  <c r="F21" i="7"/>
  <c r="H22" i="7" l="1"/>
  <c r="G21" i="7"/>
  <c r="I21" i="7"/>
  <c r="J21" i="7" s="1"/>
  <c r="G20" i="7"/>
  <c r="E21" i="7"/>
  <c r="C37" i="7" s="1"/>
  <c r="A51" i="7" s="1"/>
  <c r="H21" i="7"/>
  <c r="F22" i="7"/>
  <c r="H23" i="7" l="1"/>
  <c r="E22" i="7"/>
  <c r="C38" i="7" s="1"/>
  <c r="A52" i="7" s="1"/>
  <c r="G22" i="7"/>
  <c r="I22" i="7"/>
  <c r="J22" i="7" s="1"/>
  <c r="F24" i="7" l="1"/>
  <c r="E23" i="7"/>
  <c r="C39" i="7" s="1"/>
  <c r="A53" i="7" s="1"/>
  <c r="F23" i="7"/>
  <c r="I23" i="7" s="1"/>
  <c r="J23" i="7" s="1"/>
  <c r="H24" i="7"/>
  <c r="G23" i="7" l="1"/>
  <c r="E24" i="7"/>
  <c r="C40" i="7" s="1"/>
  <c r="A54" i="7" s="1"/>
  <c r="E25" i="7"/>
  <c r="C41" i="7" s="1"/>
  <c r="A55" i="7" s="1"/>
  <c r="F25" i="7"/>
  <c r="G24" i="7"/>
  <c r="I24" i="7"/>
  <c r="J24" i="7" s="1"/>
  <c r="H25" i="7" l="1"/>
  <c r="G25" i="7"/>
  <c r="I25" i="7"/>
  <c r="J25" i="7" s="1"/>
  <c r="F26" i="7"/>
  <c r="H26" i="7"/>
  <c r="E26" i="7"/>
  <c r="C42" i="7" s="1"/>
  <c r="A56" i="7" s="1"/>
  <c r="E27" i="7" l="1"/>
  <c r="C43" i="7" s="1"/>
  <c r="A57" i="7" s="1"/>
  <c r="H27" i="7"/>
  <c r="F27" i="7"/>
  <c r="I26" i="7"/>
  <c r="J26" i="7" s="1"/>
  <c r="G26" i="7"/>
  <c r="H28" i="7" l="1"/>
  <c r="F28" i="7"/>
  <c r="E28" i="7"/>
  <c r="C44" i="7" s="1"/>
  <c r="A58" i="7" s="1"/>
  <c r="G27" i="7"/>
  <c r="I27" i="7"/>
  <c r="J27" i="7" s="1"/>
  <c r="G28" i="7" l="1"/>
  <c r="I28" i="7"/>
  <c r="J28" i="7" s="1"/>
</calcChain>
</file>

<file path=xl/sharedStrings.xml><?xml version="1.0" encoding="utf-8"?>
<sst xmlns="http://schemas.openxmlformats.org/spreadsheetml/2006/main" count="390" uniqueCount="133">
  <si>
    <t>Units</t>
  </si>
  <si>
    <t>Input Data</t>
  </si>
  <si>
    <t>Burner Output at High Fire</t>
  </si>
  <si>
    <t>MM BTU / HR</t>
  </si>
  <si>
    <t>Burner Head (manifold) pressure at High Fire</t>
  </si>
  <si>
    <t>IN WC</t>
  </si>
  <si>
    <t>Burner Turndown</t>
  </si>
  <si>
    <t>xx to 1</t>
  </si>
  <si>
    <t>BTU / SCFH</t>
  </si>
  <si>
    <t xml:space="preserve">% </t>
  </si>
  <si>
    <t>LMV 
Curve 
Point</t>
  </si>
  <si>
    <t>Burner 
Output</t>
  </si>
  <si>
    <t>Burner Head Pressure
(Approx)</t>
  </si>
  <si>
    <t xml:space="preserve">Boiler
Output @
Efficiency </t>
  </si>
  <si>
    <t>#</t>
  </si>
  <si>
    <t>%</t>
  </si>
  <si>
    <t>MM BTU /HR</t>
  </si>
  <si>
    <t>MW</t>
  </si>
  <si>
    <t>SCFH</t>
  </si>
  <si>
    <t>BHP</t>
  </si>
  <si>
    <t>lb/hr</t>
  </si>
  <si>
    <t>LMV Load at
Curve 
Point</t>
  </si>
  <si>
    <t>VSD Speed</t>
  </si>
  <si>
    <t>Deg</t>
  </si>
  <si>
    <t>Set Ratio control @ this O2 value
(-0, +0.2%)</t>
  </si>
  <si>
    <t>% O2 Wet</t>
  </si>
  <si>
    <t>Air Act Pos</t>
  </si>
  <si>
    <t>Fuel Act. Pos</t>
  </si>
  <si>
    <t>Aux 1 Act Pos</t>
  </si>
  <si>
    <t>Aux 3 Act Pos</t>
  </si>
  <si>
    <t>Aux 2 Act Pos</t>
  </si>
  <si>
    <t>Emissions Data from Exhaust Gas Analyzer 
@ O2 Control</t>
  </si>
  <si>
    <t>O2 (Dry)</t>
  </si>
  <si>
    <t>CO</t>
  </si>
  <si>
    <t>Nox</t>
  </si>
  <si>
    <t>PPM</t>
  </si>
  <si>
    <t>X</t>
  </si>
  <si>
    <t>Lambda Ratio control Curve</t>
  </si>
  <si>
    <t>Lambda O2 control curve</t>
  </si>
  <si>
    <t>Average Lambdafactor</t>
  </si>
  <si>
    <t>Ratio</t>
  </si>
  <si>
    <t>Setpoint</t>
  </si>
  <si>
    <t>Lambda factor</t>
  </si>
  <si>
    <t>CURVE POINTS (Ratio Control)</t>
  </si>
  <si>
    <t>MAX</t>
  </si>
  <si>
    <t>MIN</t>
  </si>
  <si>
    <t>Heating Value of Gas</t>
  </si>
  <si>
    <t>Actuator / VSD  Ratio Control  Curves</t>
  </si>
  <si>
    <t>* Determined during commissioning of Ratio Control Curves.  Not recommended to exceed 200 PPM CO or run less than 1.0% O2 (as measured by a calibrated, external exhaust gas analyzer).</t>
  </si>
  <si>
    <t>As saved in the LMV52</t>
  </si>
  <si>
    <t>O2 Control</t>
  </si>
  <si>
    <t>Standard Val</t>
  </si>
  <si>
    <t>Cannot trim on Point 1</t>
  </si>
  <si>
    <t>Target for
O2 Control</t>
  </si>
  <si>
    <t>Based on O2 Alarm Rich and O2 Ratio</t>
  </si>
  <si>
    <t>From Above</t>
  </si>
  <si>
    <t>%O2 Control - Alarm Curves</t>
  </si>
  <si>
    <t>Application Info</t>
  </si>
  <si>
    <t>CURVE POINTS (O2 Control-Alarm)</t>
  </si>
  <si>
    <t>Target for O2 Control</t>
  </si>
  <si>
    <t>CURVE POINTS (%O2 Control - Alarm)</t>
  </si>
  <si>
    <t xml:space="preserve">Gas flow to Burner
 (Auto Calc)
</t>
  </si>
  <si>
    <r>
      <t>Steam Flow 230</t>
    </r>
    <r>
      <rPr>
        <vertAlign val="superscript"/>
        <sz val="11"/>
        <rFont val="Calibri"/>
        <family val="2"/>
        <scheme val="minor"/>
      </rPr>
      <t>o</t>
    </r>
    <r>
      <rPr>
        <sz val="11"/>
        <rFont val="Calibri"/>
        <family val="2"/>
        <scheme val="minor"/>
      </rPr>
      <t xml:space="preserve"> F feed
100 PSIG Steam (Approx)</t>
    </r>
  </si>
  <si>
    <t>These cells are calculated from the "Application Info" cells above</t>
  </si>
  <si>
    <t>Manually Input during Ratio Control Curve Commissioning</t>
  </si>
  <si>
    <t>Manual Input</t>
  </si>
  <si>
    <t>LMV52 Load</t>
  </si>
  <si>
    <t>A</t>
  </si>
  <si>
    <t>Boiler Efficiency</t>
  </si>
  <si>
    <t>Gas pressure upstream of Firing Rate Valve at Low fire</t>
  </si>
  <si>
    <t>Gas pressure upstream of Firing Rate Valve at High fire</t>
  </si>
  <si>
    <t>Furnace pressure at Low fire</t>
  </si>
  <si>
    <t>Furnace pressure at High Fire</t>
  </si>
  <si>
    <t>A or M</t>
  </si>
  <si>
    <t>LMV Load Numbers : Base on Manual Entry or Auto Calc Gas flow? (M = Manual Entry, A = Automatic Calc)</t>
  </si>
  <si>
    <t>Gas pressure upstream of Regulator</t>
  </si>
  <si>
    <t>PSIG</t>
  </si>
  <si>
    <t>Gas flow to Burner
(Manual Entry / Paste)</t>
  </si>
  <si>
    <t>Standard Dev</t>
  </si>
  <si>
    <t>CURVE POINTS
 (Ratio Control)</t>
  </si>
  <si>
    <t>CURVE POINTS</t>
  </si>
  <si>
    <t>Load Reduction for Point 1 (subtracted from point 2)</t>
  </si>
  <si>
    <t>Aux Act Pos</t>
  </si>
  <si>
    <t>LMV52 with O2 Trim on Ultra Low Nox and Mesh Burners - Gas</t>
  </si>
  <si>
    <t>LMV52 with O2 Trim - Gas</t>
  </si>
  <si>
    <t>LMV51 Basic burner - Gas</t>
  </si>
  <si>
    <t>LMV3 Basic Burner-Gas</t>
  </si>
  <si>
    <t>Based on burner capabilities</t>
  </si>
  <si>
    <t>Indicates information to be filled out before commissioning ratio control curves</t>
  </si>
  <si>
    <t>Indicates information to be filled out during commissioning of ratio control curves.</t>
  </si>
  <si>
    <t>Indicates information to be filled out during commissioning of O2 trim.</t>
  </si>
  <si>
    <t>O2 MaxValue (Lean Limit)</t>
  </si>
  <si>
    <r>
      <t>O2 Alarm (Rich Limit)</t>
    </r>
    <r>
      <rPr>
        <b/>
        <sz val="11"/>
        <color theme="1"/>
        <rFont val="Calibri"/>
        <family val="2"/>
        <scheme val="minor"/>
      </rPr>
      <t>*</t>
    </r>
  </si>
  <si>
    <t>O2 Ratio Control</t>
  </si>
  <si>
    <t>O2 Alarm (Rich Limit)</t>
  </si>
  <si>
    <t>GENERAL INSTRUCTIONS</t>
  </si>
  <si>
    <t>GENERAL INFORMATION</t>
  </si>
  <si>
    <t>a</t>
  </si>
  <si>
    <t>If needed : Gas flow at Low Fire (to calc turndown number)</t>
  </si>
  <si>
    <t>to 1</t>
  </si>
  <si>
    <t>Emissions Data from Exhaust Gas Analyzer 
@ O2 Ratio Control</t>
  </si>
  <si>
    <t>3. This spreadsheet is designed to be used with an accurate fuel flow meter.  Approximate burner head pressure for each point is also provided based on high fire head pressure using the square root law for the relationship between flow and pressure differential.  Burner head pressure should only be used as a "better than nothing" way to estimate fuel flow, and is typically not adequate for setting up burners that use O2 trim.</t>
  </si>
  <si>
    <t>Degrees F</t>
  </si>
  <si>
    <t>Barometric Pressure at Burner Commissioning</t>
  </si>
  <si>
    <t>in Hg</t>
  </si>
  <si>
    <t>Ambient Air Temperature at Burner Commissioning</t>
  </si>
  <si>
    <t>Maximum Expected Ambient Air Temperture</t>
  </si>
  <si>
    <t>Minimum Expected Ambient Air Temperture</t>
  </si>
  <si>
    <t>Maximum Expected Barometric Pressure</t>
  </si>
  <si>
    <t>Minimum Expected Barometric Pressure</t>
  </si>
  <si>
    <t>Conditions at Comissioning</t>
  </si>
  <si>
    <t>Max and Min Temperature</t>
  </si>
  <si>
    <t>LMV5 Maximum and Minimim Manipulated Varible</t>
  </si>
  <si>
    <t>Maximum Manipulated Varible</t>
  </si>
  <si>
    <t>Unitless</t>
  </si>
  <si>
    <t>Maximum Manipulated Varible (+5)</t>
  </si>
  <si>
    <t>Maximum Manipulated Varible (-5)</t>
  </si>
  <si>
    <t>1. The spreadsheet is a tool for LMVx curve commissioning on gaseous fuels.  It provides an orderly way to record and visualize data while using the AZL for commissioning.  The different tabs are tailored for different applications.</t>
  </si>
  <si>
    <t>2. For LMV5 applications, 10 points are used.  This is not adjustable in the spreadsheet.  For LMV3 applications, 9 points are used, which is also not adjustable in the spreadsheet.</t>
  </si>
  <si>
    <t>4. Green shaded cells are to be filled out before commissioning, ideally based on "known" information.  However, many burners do not perform to published high fire output and turndown specifications. Most burners must be run up to high fire and down to low fire to get the actual high fire and the actual turndown performance.  It is recommended to find the actual high fire and the actual low fire  (Section 4 of LMV5 Technical Instructions) before filling out the green shaded cells.</t>
  </si>
  <si>
    <t>5. If the spreadsheet is in "Auto Calc" mode, gas flow and load will be linearly increased and equally spaced from low fire to high fire.  The actual values will be based off of the numbers entered for high fire burner output and turndown.</t>
  </si>
  <si>
    <t>6. If the spreadsheet is in "Manual Entry" mode, load will be calculated based on the fuel flow that is manually entered and the high fire burner output. The turndown number has no effect in this mode.</t>
  </si>
  <si>
    <t>7. For O2 Trim on Mesh Burners where the LMV5 is set up to have Point 2 as low fire, Point 1 still must exist even if the gap between Point 1 and Point 2 is smaller.  This is why the tab for O2 Trim on Mesh Burners has the "Load Reduction for Point 1" option. The gap between Point 1 and Point 2 can be reduced so that the overall turndown of the burner is only slightly limited.  For the O2 Trim on Mesh Burners tab,  the "Burner Turndown" is calculated between Point 2 and Point 10.  On all other LMV5 tabs, "Burner Turndown" is calculated between Point 1 and Point 10.</t>
  </si>
  <si>
    <t>1. Select the appropriate spreadsheet tab. The LMV52 O2 trim tab can be used for an LMV52 that has VSD but no O2 trim.  The LMV52 O2 Trim Mesh Burner tab can also be used for high percentage FGR burners that are not a mesh type of burner.</t>
  </si>
  <si>
    <t>2. Unless the true burner high fire output and turndown are definitely known, find these values by running the burner at these points before the ratio curve commissioning begins. Once the values are known, input these into the appropriate green cells.  For convenience, an optional input cell is included that will calculate the turndown number based off of the high fire output and the entered low fire fuel flow. Entering the information in the green cells will set the fuel flow targets for the burner at each point.</t>
  </si>
  <si>
    <t>3. Commission the ratio control curve for safe, efficient combustion for Point 1 thru Point 10. Record data for each point in the yellow shaded cells.  If the burner in question will have O2 trim, the ratio control curve can be used to "probe" the rich and lean limits of the burner and these values should be recorded in the spreadsheet for later use. If the burner in question is also a low (NOx) emissions burner, the Target O2 corresponding to emissions compliance will also need to be probed and the values recorded in the spreadsheet for later use. See Section 4 (Commissioning) and Section 6 (O2 Trim) for more information on O2 trim burners.</t>
  </si>
  <si>
    <t>4. If the O2 trim is being commissioned, record the data in the blue shaded cells. Recording the O2 ratio control, O2 control and Standard Val should result in the lambda factor being calculated. The lambda factor should be reasonably linear. More variance in the lambda factor from point to point can be expected if using FGR and if the gap between the O2 ratio control and the O2 control curves is less than 0.5%. As a guideline, adjacent points having a difference of 0.20 or less would be considered good.  A difference of 0.50 for adjacent points would be unacceptable for most burners.  The standard deviation for the lambda factor curve (all the points) should be in the range of 0.1 (good) to 0.35 (borderline acceptable).</t>
  </si>
  <si>
    <t>6. O2 trim is rarely done when firing #2 oil, since this is typically a back-up fuel.  As such, this spreadsheet does not cover setting up O2 trim on #2 oil. If O2 trim is being done on oil, an oil flow meter should also be utilized.</t>
  </si>
  <si>
    <t xml:space="preserve">5. For dual fuel burners where the second fuel is oil, airflow matching can be used to approximate the oil flow.  This is done by using a flow meter for the gas and commissioning the gas first. The same air damper / VSD positions and the same load numbers from the commissioned gas curve can then be used for the oil curve, which should yield a linear increase in the oil flow as firing rate increases. </t>
  </si>
  <si>
    <t>Indicates information to be filled out during commissioning of ratio control curves</t>
  </si>
  <si>
    <t>Burner Head (manifold) Pressure at High Fire</t>
  </si>
  <si>
    <t>Actuator / VSD  Ratio Control Curves</t>
  </si>
  <si>
    <t>Gas Pressure upstream of Regulator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</si>
</sst>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color theme="1"/>
      <name val="Calibri"/>
      <family val="2"/>
      <scheme val="minor"/>
    </font>
    <font>
      <sz val="11"/>
      <name val="Arial"/>
      <family val="2"/>
    </font>
    <font>
      <sz val="11"/>
      <name val="Arial"/>
      <family val="2"/>
    </font>
    <font>
      <b/>
      <sz val="10"/>
      <color theme="1"/>
      <name val="Calibri"/>
      <family val="2"/>
      <scheme val="minor"/>
    </font>
    <font>
      <sz val="10"/>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sz val="12"/>
      <name val="Calibri"/>
      <family val="2"/>
      <scheme val="minor"/>
    </font>
    <font>
      <b/>
      <sz val="12"/>
      <name val="Calibri"/>
      <family val="2"/>
      <scheme val="minor"/>
    </font>
    <font>
      <vertAlign val="superscript"/>
      <sz val="1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99FF99"/>
        <bgColor indexed="64"/>
      </patternFill>
    </fill>
    <fill>
      <patternFill patternType="solid">
        <fgColor theme="8" tint="0.79998168889431442"/>
        <bgColor indexed="64"/>
      </patternFill>
    </fill>
    <fill>
      <patternFill patternType="solid">
        <fgColor rgb="FFCCFFFF"/>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 fillId="0" borderId="0"/>
    <xf numFmtId="0" fontId="3" fillId="0" borderId="0"/>
  </cellStyleXfs>
  <cellXfs count="169">
    <xf numFmtId="0" fontId="0" fillId="0" borderId="0" xfId="0"/>
    <xf numFmtId="0" fontId="0" fillId="0" borderId="0" xfId="0" applyFont="1"/>
    <xf numFmtId="0" fontId="0" fillId="2" borderId="1" xfId="0" applyFont="1" applyFill="1" applyBorder="1"/>
    <xf numFmtId="0" fontId="0" fillId="3" borderId="1" xfId="0" applyFont="1" applyFill="1" applyBorder="1"/>
    <xf numFmtId="0" fontId="0" fillId="0" borderId="0" xfId="0" applyFont="1" applyFill="1" applyBorder="1"/>
    <xf numFmtId="2" fontId="0" fillId="0" borderId="1" xfId="0" applyNumberFormat="1" applyFont="1" applyBorder="1" applyAlignment="1">
      <alignment horizontal="center" vertical="center"/>
    </xf>
    <xf numFmtId="2" fontId="0" fillId="0" borderId="1" xfId="0" applyNumberFormat="1" applyFont="1" applyBorder="1"/>
    <xf numFmtId="164" fontId="0" fillId="2" borderId="1" xfId="0" applyNumberFormat="1" applyFont="1" applyFill="1" applyBorder="1" applyAlignment="1">
      <alignment horizontal="center" vertical="center"/>
    </xf>
    <xf numFmtId="0" fontId="6" fillId="0" borderId="0" xfId="1" applyFont="1"/>
    <xf numFmtId="1" fontId="6" fillId="0" borderId="1" xfId="1" applyNumberFormat="1" applyFont="1" applyBorder="1" applyAlignment="1">
      <alignment horizontal="center" vertical="center"/>
    </xf>
    <xf numFmtId="164" fontId="6" fillId="0" borderId="1" xfId="1" applyNumberFormat="1" applyFont="1" applyBorder="1" applyAlignment="1">
      <alignment horizontal="center" vertical="center"/>
    </xf>
    <xf numFmtId="0" fontId="6" fillId="0" borderId="1" xfId="1" applyFont="1" applyFill="1" applyBorder="1" applyAlignment="1">
      <alignment horizontal="center" vertical="center" wrapText="1"/>
    </xf>
    <xf numFmtId="164" fontId="8" fillId="0" borderId="1" xfId="1" applyNumberFormat="1" applyFont="1" applyBorder="1" applyAlignment="1" applyProtection="1">
      <alignment horizontal="center"/>
      <protection locked="0"/>
    </xf>
    <xf numFmtId="164" fontId="7" fillId="2" borderId="1" xfId="1" applyNumberFormat="1" applyFont="1" applyFill="1" applyBorder="1" applyAlignment="1">
      <alignment horizontal="center" vertical="center"/>
    </xf>
    <xf numFmtId="164" fontId="6" fillId="0" borderId="1" xfId="1" applyNumberFormat="1" applyFont="1" applyFill="1" applyBorder="1" applyAlignment="1">
      <alignment horizontal="center" vertical="center"/>
    </xf>
    <xf numFmtId="164" fontId="6" fillId="2" borderId="1" xfId="1" applyNumberFormat="1" applyFont="1" applyFill="1" applyBorder="1" applyAlignment="1">
      <alignment horizontal="center" vertical="center"/>
    </xf>
    <xf numFmtId="164" fontId="10" fillId="0" borderId="0" xfId="2" applyNumberFormat="1" applyFont="1" applyFill="1" applyBorder="1" applyAlignment="1" applyProtection="1">
      <alignment horizontal="center"/>
      <protection locked="0"/>
    </xf>
    <xf numFmtId="2" fontId="6" fillId="0" borderId="0" xfId="2" applyNumberFormat="1" applyFont="1" applyFill="1" applyBorder="1" applyAlignment="1">
      <alignment horizontal="center"/>
    </xf>
    <xf numFmtId="0" fontId="6" fillId="0" borderId="1" xfId="2" applyFont="1" applyFill="1" applyBorder="1" applyAlignment="1">
      <alignment horizontal="center" vertical="center" wrapText="1"/>
    </xf>
    <xf numFmtId="164" fontId="11" fillId="0" borderId="1" xfId="1" applyNumberFormat="1" applyFont="1" applyBorder="1" applyAlignment="1" applyProtection="1">
      <alignment horizontal="center"/>
      <protection locked="0"/>
    </xf>
    <xf numFmtId="0" fontId="0" fillId="0" borderId="1" xfId="0" applyFont="1" applyBorder="1"/>
    <xf numFmtId="0" fontId="7" fillId="0" borderId="1" xfId="1" applyFont="1" applyBorder="1" applyAlignment="1">
      <alignment horizontal="center"/>
    </xf>
    <xf numFmtId="0" fontId="6" fillId="0" borderId="1" xfId="1" applyFont="1" applyBorder="1" applyAlignment="1">
      <alignment horizontal="center" vertical="center" wrapText="1"/>
    </xf>
    <xf numFmtId="0" fontId="7" fillId="0" borderId="1" xfId="1" applyFont="1" applyFill="1" applyBorder="1" applyAlignment="1">
      <alignment horizontal="center" vertical="center" wrapText="1"/>
    </xf>
    <xf numFmtId="0" fontId="6" fillId="0" borderId="1" xfId="1" applyFont="1" applyBorder="1" applyAlignment="1">
      <alignment horizontal="center" vertical="center"/>
    </xf>
    <xf numFmtId="0" fontId="7" fillId="0" borderId="1" xfId="1" applyFont="1" applyBorder="1" applyAlignment="1">
      <alignment horizontal="center" vertical="center" wrapText="1"/>
    </xf>
    <xf numFmtId="0" fontId="1" fillId="0" borderId="1" xfId="0" applyFont="1" applyBorder="1" applyAlignment="1">
      <alignment horizontal="center" vertical="center"/>
    </xf>
    <xf numFmtId="0" fontId="6" fillId="0" borderId="1" xfId="1" applyFont="1" applyBorder="1" applyAlignment="1">
      <alignment horizontal="center" vertical="center" wrapText="1"/>
    </xf>
    <xf numFmtId="0" fontId="7" fillId="0" borderId="1" xfId="1" applyFont="1" applyBorder="1" applyAlignment="1">
      <alignment horizontal="center"/>
    </xf>
    <xf numFmtId="0" fontId="6" fillId="0" borderId="1" xfId="1" applyFont="1" applyBorder="1" applyAlignment="1">
      <alignment horizontal="center" vertical="center"/>
    </xf>
    <xf numFmtId="164" fontId="6" fillId="0" borderId="1" xfId="1" quotePrefix="1" applyNumberFormat="1" applyFont="1" applyBorder="1" applyAlignment="1">
      <alignment horizontal="center" vertical="center"/>
    </xf>
    <xf numFmtId="0" fontId="0" fillId="0" borderId="0" xfId="0" applyFont="1" applyFill="1"/>
    <xf numFmtId="0" fontId="7" fillId="0" borderId="0" xfId="1" applyFont="1" applyFill="1" applyBorder="1" applyAlignment="1" applyProtection="1">
      <alignment horizontal="center"/>
      <protection locked="0"/>
    </xf>
    <xf numFmtId="0" fontId="7" fillId="0" borderId="0" xfId="1" applyFont="1" applyFill="1" applyBorder="1" applyAlignment="1" applyProtection="1">
      <protection locked="0"/>
    </xf>
    <xf numFmtId="0" fontId="7" fillId="0" borderId="1" xfId="1" applyFont="1" applyBorder="1" applyAlignment="1">
      <alignment horizontal="center" wrapText="1"/>
    </xf>
    <xf numFmtId="0" fontId="7" fillId="0" borderId="1" xfId="2" applyFont="1" applyFill="1" applyBorder="1" applyAlignment="1">
      <alignment horizontal="center" vertical="center" wrapText="1"/>
    </xf>
    <xf numFmtId="2" fontId="6" fillId="0" borderId="1" xfId="1" quotePrefix="1" applyNumberFormat="1" applyFont="1" applyBorder="1" applyAlignment="1">
      <alignment horizontal="center" vertical="center"/>
    </xf>
    <xf numFmtId="2" fontId="6" fillId="0" borderId="1" xfId="1" applyNumberFormat="1" applyFont="1" applyBorder="1" applyAlignment="1">
      <alignment horizontal="center" vertical="center"/>
    </xf>
    <xf numFmtId="0" fontId="0" fillId="0" borderId="0" xfId="0" applyBorder="1" applyAlignment="1"/>
    <xf numFmtId="0" fontId="0" fillId="0" borderId="0" xfId="0" applyFont="1" applyBorder="1"/>
    <xf numFmtId="0" fontId="1" fillId="0" borderId="0" xfId="0" applyFont="1" applyBorder="1" applyAlignment="1">
      <alignment horizontal="center" vertical="center"/>
    </xf>
    <xf numFmtId="0" fontId="7" fillId="0" borderId="1" xfId="1" applyFont="1" applyFill="1" applyBorder="1" applyAlignment="1">
      <alignment horizontal="center"/>
    </xf>
    <xf numFmtId="0" fontId="7" fillId="3" borderId="1" xfId="1" applyFont="1" applyFill="1" applyBorder="1" applyAlignment="1" applyProtection="1">
      <alignment horizontal="center"/>
      <protection locked="0"/>
    </xf>
    <xf numFmtId="0" fontId="7" fillId="0" borderId="1" xfId="1" applyFont="1" applyFill="1" applyBorder="1" applyAlignment="1" applyProtection="1">
      <alignment horizontal="center"/>
      <protection locked="0"/>
    </xf>
    <xf numFmtId="2" fontId="7" fillId="2" borderId="1" xfId="1" applyNumberFormat="1" applyFont="1" applyFill="1" applyBorder="1" applyAlignment="1" applyProtection="1">
      <alignment horizontal="center"/>
      <protection locked="0"/>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0" fillId="0" borderId="0" xfId="0" applyBorder="1" applyAlignment="1">
      <alignment wrapText="1"/>
    </xf>
    <xf numFmtId="0" fontId="6" fillId="0" borderId="1" xfId="1" applyFont="1" applyBorder="1" applyAlignment="1">
      <alignment horizontal="center" vertical="center" wrapText="1"/>
    </xf>
    <xf numFmtId="0" fontId="0" fillId="4" borderId="1" xfId="0" applyFont="1" applyFill="1" applyBorder="1"/>
    <xf numFmtId="164" fontId="6" fillId="5" borderId="1" xfId="1" applyNumberFormat="1" applyFont="1" applyFill="1" applyBorder="1" applyAlignment="1" applyProtection="1">
      <alignment horizontal="center"/>
      <protection locked="0"/>
    </xf>
    <xf numFmtId="164" fontId="0" fillId="5" borderId="1" xfId="0" applyNumberFormat="1" applyFont="1" applyFill="1" applyBorder="1" applyAlignment="1">
      <alignment horizontal="center"/>
    </xf>
    <xf numFmtId="0" fontId="0" fillId="5" borderId="1" xfId="0" applyFont="1" applyFill="1" applyBorder="1"/>
    <xf numFmtId="164" fontId="6" fillId="5"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0" xfId="0" applyFont="1" applyAlignment="1">
      <alignment horizontal="center"/>
    </xf>
    <xf numFmtId="0" fontId="7" fillId="0" borderId="1" xfId="1" applyFont="1" applyFill="1" applyBorder="1" applyAlignment="1">
      <alignment horizontal="center"/>
    </xf>
    <xf numFmtId="0" fontId="7" fillId="2" borderId="1" xfId="1" applyFont="1" applyFill="1" applyBorder="1" applyAlignment="1" applyProtection="1">
      <alignment horizontal="center"/>
      <protection locked="0"/>
    </xf>
    <xf numFmtId="164" fontId="11" fillId="0" borderId="1" xfId="1" applyNumberFormat="1" applyFont="1" applyFill="1" applyBorder="1" applyAlignment="1" applyProtection="1">
      <alignment horizontal="center"/>
      <protection locked="0"/>
    </xf>
    <xf numFmtId="0" fontId="0" fillId="0" borderId="20" xfId="0" applyBorder="1" applyAlignment="1">
      <alignment wrapText="1"/>
    </xf>
    <xf numFmtId="0" fontId="0" fillId="0" borderId="1" xfId="0" applyBorder="1" applyAlignment="1">
      <alignment wrapText="1"/>
    </xf>
    <xf numFmtId="0" fontId="0" fillId="0" borderId="21" xfId="0" applyBorder="1" applyAlignment="1">
      <alignment wrapText="1"/>
    </xf>
    <xf numFmtId="0" fontId="0" fillId="0" borderId="20" xfId="0" applyBorder="1" applyAlignment="1">
      <alignment horizontal="left" wrapText="1"/>
    </xf>
    <xf numFmtId="0" fontId="0" fillId="0" borderId="1" xfId="0" applyBorder="1" applyAlignment="1">
      <alignment horizontal="left" wrapText="1"/>
    </xf>
    <xf numFmtId="0" fontId="0" fillId="0" borderId="21"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0" fillId="0" borderId="22" xfId="0" applyBorder="1" applyAlignment="1">
      <alignment horizontal="left" wrapText="1"/>
    </xf>
    <xf numFmtId="0" fontId="0" fillId="0" borderId="6" xfId="0" applyBorder="1" applyAlignment="1">
      <alignment wrapText="1"/>
    </xf>
    <xf numFmtId="0" fontId="0" fillId="0" borderId="23" xfId="0" applyBorder="1" applyAlignment="1">
      <alignment wrapText="1"/>
    </xf>
    <xf numFmtId="0" fontId="0" fillId="0" borderId="18" xfId="0" applyBorder="1" applyAlignment="1">
      <alignment wrapText="1"/>
    </xf>
    <xf numFmtId="0" fontId="0" fillId="0" borderId="0" xfId="0" applyBorder="1" applyAlignment="1">
      <alignment wrapText="1"/>
    </xf>
    <xf numFmtId="0" fontId="0" fillId="0" borderId="19" xfId="0" applyBorder="1" applyAlignment="1">
      <alignment wrapText="1"/>
    </xf>
    <xf numFmtId="0" fontId="0" fillId="0" borderId="27" xfId="0" applyBorder="1" applyAlignment="1">
      <alignment wrapText="1"/>
    </xf>
    <xf numFmtId="0" fontId="0" fillId="0" borderId="9" xfId="0" applyBorder="1" applyAlignment="1">
      <alignment wrapText="1"/>
    </xf>
    <xf numFmtId="0" fontId="0" fillId="0" borderId="28"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1" fillId="6" borderId="29" xfId="0" applyFont="1" applyFill="1" applyBorder="1" applyAlignment="1">
      <alignment horizontal="center"/>
    </xf>
    <xf numFmtId="0" fontId="1" fillId="6" borderId="30" xfId="0" applyFont="1" applyFill="1" applyBorder="1" applyAlignment="1">
      <alignment horizontal="center"/>
    </xf>
    <xf numFmtId="0" fontId="1" fillId="6" borderId="31" xfId="0" applyFont="1" applyFill="1" applyBorder="1" applyAlignment="1">
      <alignment horizontal="center"/>
    </xf>
    <xf numFmtId="0" fontId="0" fillId="0" borderId="32"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20" xfId="0" applyBorder="1" applyAlignment="1"/>
    <xf numFmtId="0" fontId="0" fillId="0" borderId="1" xfId="0" applyBorder="1" applyAlignment="1"/>
    <xf numFmtId="0" fontId="0" fillId="0" borderId="21" xfId="0" applyBorder="1" applyAlignment="1"/>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17" xfId="0" applyFont="1" applyFill="1" applyBorder="1" applyAlignment="1">
      <alignment horizont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7" fillId="0" borderId="1" xfId="1" applyFont="1" applyBorder="1" applyAlignment="1">
      <alignment horizontal="center"/>
    </xf>
    <xf numFmtId="0" fontId="7" fillId="0" borderId="1" xfId="1" applyFont="1" applyFill="1" applyBorder="1" applyAlignment="1">
      <alignment horizontal="center"/>
    </xf>
    <xf numFmtId="0" fontId="7" fillId="0" borderId="1" xfId="1" applyFont="1" applyFill="1" applyBorder="1" applyAlignment="1"/>
    <xf numFmtId="0" fontId="7" fillId="0" borderId="1" xfId="1" applyFont="1" applyBorder="1" applyAlignment="1">
      <alignment horizontal="center" vertical="center"/>
    </xf>
    <xf numFmtId="0" fontId="6" fillId="0" borderId="1" xfId="1" applyFont="1" applyBorder="1" applyAlignment="1"/>
    <xf numFmtId="0" fontId="0" fillId="0" borderId="1" xfId="0" applyFont="1" applyBorder="1" applyAlignment="1"/>
    <xf numFmtId="0" fontId="6" fillId="2" borderId="1" xfId="1" applyFont="1" applyFill="1" applyBorder="1" applyAlignment="1">
      <alignment horizontal="center"/>
    </xf>
    <xf numFmtId="0" fontId="0" fillId="2" borderId="1" xfId="0" applyFill="1" applyBorder="1" applyAlignment="1">
      <alignment horizontal="center"/>
    </xf>
    <xf numFmtId="0" fontId="7" fillId="3" borderId="1" xfId="1" applyFont="1" applyFill="1" applyBorder="1" applyAlignment="1" applyProtection="1">
      <alignment horizontal="center"/>
      <protection locked="0"/>
    </xf>
    <xf numFmtId="0" fontId="7" fillId="3" borderId="1" xfId="1" applyFont="1" applyFill="1" applyBorder="1" applyAlignment="1" applyProtection="1">
      <protection locked="0"/>
    </xf>
    <xf numFmtId="0" fontId="7" fillId="0" borderId="1" xfId="1" applyFont="1" applyBorder="1" applyAlignment="1">
      <alignment horizontal="center" vertical="center" textRotation="90" wrapText="1"/>
    </xf>
    <xf numFmtId="0" fontId="6" fillId="0" borderId="1" xfId="1" applyFont="1" applyBorder="1" applyAlignment="1">
      <alignment wrapText="1"/>
    </xf>
    <xf numFmtId="0" fontId="7" fillId="0" borderId="1" xfId="1" applyFont="1" applyBorder="1" applyAlignment="1">
      <alignment horizontal="center" vertical="center" textRotation="90"/>
    </xf>
    <xf numFmtId="0" fontId="6" fillId="0" borderId="1" xfId="1" applyFont="1" applyBorder="1" applyAlignment="1">
      <alignment horizontal="center" vertical="center" textRotation="90"/>
    </xf>
    <xf numFmtId="0" fontId="6" fillId="0" borderId="1" xfId="1" applyFont="1" applyBorder="1" applyAlignment="1">
      <alignment horizontal="center" vertical="center" wrapText="1"/>
    </xf>
    <xf numFmtId="0" fontId="8" fillId="0" borderId="1" xfId="1" applyFont="1" applyBorder="1" applyAlignment="1">
      <alignment horizontal="center" vertical="center" wrapText="1"/>
    </xf>
    <xf numFmtId="0" fontId="7" fillId="0" borderId="1" xfId="1" applyFont="1" applyFill="1" applyBorder="1" applyAlignment="1" applyProtection="1">
      <alignment horizontal="center"/>
      <protection locked="0"/>
    </xf>
    <xf numFmtId="0" fontId="0" fillId="0" borderId="11" xfId="0" applyBorder="1" applyAlignment="1"/>
    <xf numFmtId="0" fontId="7" fillId="0" borderId="2" xfId="1" applyFont="1" applyBorder="1" applyAlignment="1">
      <alignment horizontal="center" vertical="center" textRotation="90" wrapText="1"/>
    </xf>
    <xf numFmtId="0" fontId="7" fillId="0" borderId="3" xfId="1" applyFont="1" applyBorder="1" applyAlignment="1">
      <alignment horizontal="center" vertical="center" textRotation="90" wrapText="1"/>
    </xf>
    <xf numFmtId="0" fontId="6" fillId="0" borderId="4" xfId="1" applyFont="1" applyBorder="1" applyAlignment="1">
      <alignment wrapText="1"/>
    </xf>
    <xf numFmtId="0" fontId="6" fillId="0" borderId="14" xfId="1" applyFont="1" applyBorder="1" applyAlignment="1"/>
    <xf numFmtId="0" fontId="6" fillId="0" borderId="8" xfId="1" applyFont="1" applyBorder="1" applyAlignment="1"/>
    <xf numFmtId="0" fontId="6" fillId="0" borderId="9" xfId="1" applyFont="1" applyBorder="1" applyAlignment="1"/>
    <xf numFmtId="0" fontId="6" fillId="0" borderId="10" xfId="1" applyFont="1" applyBorder="1" applyAlignment="1"/>
    <xf numFmtId="1" fontId="7" fillId="0" borderId="1" xfId="1" applyNumberFormat="1" applyFont="1" applyBorder="1" applyAlignment="1">
      <alignment horizontal="center" vertical="center" wrapText="1"/>
    </xf>
    <xf numFmtId="0" fontId="8" fillId="0" borderId="1" xfId="1" applyFont="1" applyBorder="1" applyAlignment="1">
      <alignment horizontal="center" vertical="center"/>
    </xf>
    <xf numFmtId="0" fontId="0" fillId="0" borderId="1" xfId="0" applyBorder="1" applyAlignment="1">
      <alignment horizontal="center" vertical="center" textRotation="90"/>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0" fillId="0" borderId="12" xfId="0" applyBorder="1" applyAlignment="1"/>
    <xf numFmtId="0" fontId="8" fillId="0" borderId="5" xfId="1" applyFont="1"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0" fontId="0" fillId="0" borderId="10" xfId="0" applyBorder="1" applyAlignment="1">
      <alignment wrapText="1"/>
    </xf>
    <xf numFmtId="0" fontId="8" fillId="0" borderId="1" xfId="1" applyFont="1" applyFill="1" applyBorder="1" applyAlignment="1">
      <alignment horizontal="center" vertical="center" wrapText="1"/>
    </xf>
    <xf numFmtId="0" fontId="9" fillId="0" borderId="1" xfId="1" applyFont="1" applyBorder="1" applyAlignment="1">
      <alignment horizontal="center" vertical="center"/>
    </xf>
    <xf numFmtId="0" fontId="6" fillId="0" borderId="1" xfId="2" applyFont="1" applyBorder="1" applyAlignment="1">
      <alignment horizontal="center" vertical="center" wrapText="1"/>
    </xf>
    <xf numFmtId="0" fontId="6" fillId="0" borderId="1" xfId="2" applyFont="1" applyBorder="1" applyAlignment="1"/>
    <xf numFmtId="0" fontId="7" fillId="0" borderId="11" xfId="1" applyFont="1" applyFill="1" applyBorder="1" applyAlignment="1">
      <alignment horizontal="center" vertical="center" wrapText="1"/>
    </xf>
    <xf numFmtId="0" fontId="0" fillId="0" borderId="12" xfId="0" applyFont="1" applyBorder="1" applyAlignment="1">
      <alignment horizontal="center" wrapText="1"/>
    </xf>
    <xf numFmtId="0" fontId="6" fillId="0" borderId="11" xfId="1" applyFont="1" applyFill="1" applyBorder="1" applyAlignment="1">
      <alignment horizontal="center" vertical="center" wrapText="1"/>
    </xf>
    <xf numFmtId="0" fontId="0" fillId="0" borderId="12" xfId="0" applyFont="1" applyBorder="1" applyAlignment="1">
      <alignment horizontal="center" vertical="center" wrapText="1"/>
    </xf>
    <xf numFmtId="0" fontId="6" fillId="2" borderId="1" xfId="1" applyFont="1" applyFill="1" applyBorder="1" applyAlignment="1">
      <alignment horizontal="center" vertical="center"/>
    </xf>
    <xf numFmtId="0" fontId="0" fillId="2" borderId="1" xfId="0" applyFill="1" applyBorder="1" applyAlignment="1">
      <alignment horizontal="center" vertical="center"/>
    </xf>
    <xf numFmtId="164" fontId="8" fillId="0" borderId="11" xfId="1" applyNumberFormat="1" applyFont="1" applyBorder="1" applyAlignment="1" applyProtection="1">
      <alignment horizontal="center"/>
      <protection locked="0"/>
    </xf>
    <xf numFmtId="0" fontId="5" fillId="0" borderId="13" xfId="0" applyFont="1" applyBorder="1" applyAlignment="1">
      <alignment horizontal="center"/>
    </xf>
    <xf numFmtId="0" fontId="5" fillId="0" borderId="12" xfId="0" applyFont="1" applyBorder="1" applyAlignment="1">
      <alignment horizontal="center"/>
    </xf>
    <xf numFmtId="0" fontId="7" fillId="0" borderId="11" xfId="1" applyFont="1" applyBorder="1" applyAlignment="1">
      <alignment horizontal="center"/>
    </xf>
    <xf numFmtId="0" fontId="7" fillId="0" borderId="12" xfId="1" applyFont="1" applyBorder="1" applyAlignment="1">
      <alignment horizontal="center"/>
    </xf>
    <xf numFmtId="2" fontId="7" fillId="2" borderId="11" xfId="1" applyNumberFormat="1" applyFont="1" applyFill="1" applyBorder="1" applyAlignment="1" applyProtection="1">
      <alignment horizontal="center"/>
      <protection locked="0"/>
    </xf>
    <xf numFmtId="2" fontId="7" fillId="2" borderId="13" xfId="1" applyNumberFormat="1" applyFont="1" applyFill="1" applyBorder="1" applyAlignment="1" applyProtection="1">
      <alignment horizontal="center"/>
      <protection locked="0"/>
    </xf>
    <xf numFmtId="2" fontId="7" fillId="2" borderId="12" xfId="1" applyNumberFormat="1" applyFont="1" applyFill="1" applyBorder="1" applyAlignment="1" applyProtection="1">
      <alignment horizont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1" xfId="1" applyFont="1" applyFill="1" applyBorder="1" applyAlignment="1" applyProtection="1">
      <alignment horizontal="center"/>
      <protection locked="0"/>
    </xf>
    <xf numFmtId="0" fontId="7" fillId="0" borderId="13" xfId="1" applyFont="1" applyFill="1" applyBorder="1" applyAlignment="1" applyProtection="1">
      <alignment horizontal="center"/>
      <protection locked="0"/>
    </xf>
    <xf numFmtId="0" fontId="7" fillId="0" borderId="12" xfId="1" applyFont="1" applyFill="1" applyBorder="1" applyAlignment="1" applyProtection="1">
      <alignment horizontal="center"/>
      <protection locked="0"/>
    </xf>
    <xf numFmtId="0" fontId="7" fillId="0" borderId="1" xfId="1" applyFont="1" applyFill="1" applyBorder="1" applyAlignment="1">
      <alignment horizontal="center" vertical="center" wrapText="1"/>
    </xf>
    <xf numFmtId="0" fontId="6" fillId="0" borderId="1" xfId="1" applyFont="1" applyBorder="1" applyAlignment="1">
      <alignment horizontal="center" vertical="center"/>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13" xfId="0" applyBorder="1" applyAlignment="1">
      <alignment horizontal="center" wrapText="1"/>
    </xf>
    <xf numFmtId="0" fontId="0" fillId="0" borderId="12" xfId="0" applyBorder="1" applyAlignment="1">
      <alignment horizontal="center" wrapText="1"/>
    </xf>
    <xf numFmtId="0" fontId="6" fillId="0" borderId="11" xfId="1" applyFont="1" applyBorder="1" applyAlignment="1"/>
    <xf numFmtId="0" fontId="6" fillId="0" borderId="13" xfId="1" applyFont="1" applyBorder="1" applyAlignment="1"/>
    <xf numFmtId="0" fontId="6" fillId="0" borderId="12" xfId="1" applyFont="1" applyBorder="1" applyAlignment="1"/>
    <xf numFmtId="0" fontId="10" fillId="0" borderId="1" xfId="1" applyFont="1" applyBorder="1" applyAlignment="1"/>
    <xf numFmtId="0" fontId="11" fillId="0" borderId="1" xfId="1" applyFont="1" applyBorder="1" applyAlignment="1">
      <alignment horizontal="center"/>
    </xf>
    <xf numFmtId="0" fontId="0" fillId="0" borderId="13" xfId="0" applyBorder="1" applyAlignment="1"/>
  </cellXfs>
  <cellStyles count="3">
    <cellStyle name="Normal" xfId="0" builtinId="0"/>
    <cellStyle name="Normal 2" xfId="1"/>
    <cellStyle name="Normal 3" xfId="2"/>
  </cellStyles>
  <dxfs count="23">
    <dxf>
      <fill>
        <patternFill>
          <bgColor rgb="FFFFFFCC"/>
        </patternFill>
      </fill>
    </dxf>
    <dxf>
      <fill>
        <patternFill>
          <bgColor rgb="FF99FF99"/>
        </patternFill>
      </fill>
    </dxf>
    <dxf>
      <fill>
        <patternFill patternType="none">
          <bgColor auto="1"/>
        </patternFill>
      </fill>
    </dxf>
    <dxf>
      <fill>
        <patternFill>
          <bgColor rgb="FFFFFFCC"/>
        </patternFill>
      </fill>
    </dxf>
    <dxf>
      <fill>
        <patternFill>
          <bgColor rgb="FFFFFFCC"/>
        </patternFill>
      </fill>
    </dxf>
    <dxf>
      <fill>
        <patternFill>
          <bgColor rgb="FF99FF99"/>
        </patternFill>
      </fill>
    </dxf>
    <dxf>
      <font>
        <color theme="0"/>
      </font>
    </dxf>
    <dxf>
      <font>
        <color auto="1"/>
      </font>
      <fill>
        <patternFill>
          <bgColor rgb="FFFFFFCC"/>
        </patternFill>
      </fill>
    </dxf>
    <dxf>
      <font>
        <color theme="0"/>
      </font>
    </dxf>
    <dxf>
      <fill>
        <patternFill patternType="none">
          <bgColor auto="1"/>
        </patternFill>
      </fill>
    </dxf>
    <dxf>
      <fill>
        <patternFill>
          <bgColor rgb="FFFFFFCC"/>
        </patternFill>
      </fill>
    </dxf>
    <dxf>
      <fill>
        <patternFill>
          <bgColor rgb="FFFFFFCC"/>
        </patternFill>
      </fill>
    </dxf>
    <dxf>
      <fill>
        <patternFill>
          <bgColor rgb="FF99FF99"/>
        </patternFill>
      </fill>
    </dxf>
    <dxf>
      <font>
        <color theme="0"/>
      </font>
    </dxf>
    <dxf>
      <font>
        <color auto="1"/>
      </font>
      <fill>
        <patternFill>
          <bgColor rgb="FFFFFFCC"/>
        </patternFill>
      </fill>
    </dxf>
    <dxf>
      <font>
        <color theme="0"/>
      </font>
    </dxf>
    <dxf>
      <fill>
        <patternFill patternType="none">
          <bgColor auto="1"/>
        </patternFill>
      </fill>
    </dxf>
    <dxf>
      <fill>
        <patternFill>
          <bgColor rgb="FFFFFFCC"/>
        </patternFill>
      </fill>
    </dxf>
    <dxf>
      <fill>
        <patternFill>
          <bgColor rgb="FFFFFFCC"/>
        </patternFill>
      </fill>
    </dxf>
    <dxf>
      <fill>
        <patternFill>
          <bgColor rgb="FF99FF99"/>
        </patternFill>
      </fill>
    </dxf>
    <dxf>
      <font>
        <color theme="0"/>
      </font>
    </dxf>
    <dxf>
      <font>
        <color auto="1"/>
      </font>
      <fill>
        <patternFill>
          <bgColor rgb="FFFFFFCC"/>
        </patternFill>
      </fill>
    </dxf>
    <dxf>
      <font>
        <color theme="0"/>
      </font>
    </dxf>
  </dxfs>
  <tableStyles count="0" defaultTableStyle="TableStyleMedium9" defaultPivotStyle="PivotStyleLight16"/>
  <colors>
    <mruColors>
      <color rgb="FFFFFFCC"/>
      <color rgb="FFCCFFFF"/>
      <color rgb="FFCCECFF"/>
      <color rgb="FF99FF99"/>
      <color rgb="FF66FF66"/>
      <color rgb="FF00FF99"/>
      <color rgb="FF00CC66"/>
      <color rgb="FF00FF00"/>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Ratio Control Curves</a:t>
            </a:r>
            <a:endParaRPr lang="en-US" sz="1200"/>
          </a:p>
        </c:rich>
      </c:tx>
      <c:layout/>
      <c:overlay val="0"/>
    </c:title>
    <c:autoTitleDeleted val="0"/>
    <c:plotArea>
      <c:layout>
        <c:manualLayout>
          <c:layoutTarget val="inner"/>
          <c:xMode val="edge"/>
          <c:yMode val="edge"/>
          <c:x val="9.9570894465530066E-2"/>
          <c:y val="0.12928019196345228"/>
          <c:w val="0.77268863649238473"/>
          <c:h val="0.70943426789224007"/>
        </c:manualLayout>
      </c:layout>
      <c:scatterChart>
        <c:scatterStyle val="lineMarker"/>
        <c:varyColors val="0"/>
        <c:ser>
          <c:idx val="0"/>
          <c:order val="0"/>
          <c:tx>
            <c:v>Air</c:v>
          </c:tx>
          <c:spPr>
            <a:ln w="12700"/>
          </c:spPr>
          <c:xVal>
            <c:numRef>
              <c:f>'LMV3 Basic'!$B$17:$B$25</c:f>
              <c:numCache>
                <c:formatCode>General</c:formatCode>
                <c:ptCount val="9"/>
                <c:pt idx="0">
                  <c:v>1</c:v>
                </c:pt>
                <c:pt idx="1">
                  <c:v>2</c:v>
                </c:pt>
                <c:pt idx="2">
                  <c:v>3</c:v>
                </c:pt>
                <c:pt idx="3">
                  <c:v>4</c:v>
                </c:pt>
                <c:pt idx="4">
                  <c:v>5</c:v>
                </c:pt>
                <c:pt idx="5">
                  <c:v>6</c:v>
                </c:pt>
                <c:pt idx="6">
                  <c:v>7</c:v>
                </c:pt>
                <c:pt idx="7">
                  <c:v>8</c:v>
                </c:pt>
                <c:pt idx="8">
                  <c:v>9</c:v>
                </c:pt>
              </c:numCache>
            </c:numRef>
          </c:xVal>
          <c:yVal>
            <c:numRef>
              <c:f>'LMV3 Basic'!$I$17:$I$25</c:f>
              <c:numCache>
                <c:formatCode>0.0</c:formatCode>
                <c:ptCount val="9"/>
              </c:numCache>
            </c:numRef>
          </c:yVal>
          <c:smooth val="0"/>
        </c:ser>
        <c:ser>
          <c:idx val="1"/>
          <c:order val="1"/>
          <c:tx>
            <c:v>Fuel</c:v>
          </c:tx>
          <c:spPr>
            <a:ln w="12700"/>
          </c:spPr>
          <c:xVal>
            <c:numRef>
              <c:f>'LMV3 Basic'!$B$17:$B$25</c:f>
              <c:numCache>
                <c:formatCode>General</c:formatCode>
                <c:ptCount val="9"/>
                <c:pt idx="0">
                  <c:v>1</c:v>
                </c:pt>
                <c:pt idx="1">
                  <c:v>2</c:v>
                </c:pt>
                <c:pt idx="2">
                  <c:v>3</c:v>
                </c:pt>
                <c:pt idx="3">
                  <c:v>4</c:v>
                </c:pt>
                <c:pt idx="4">
                  <c:v>5</c:v>
                </c:pt>
                <c:pt idx="5">
                  <c:v>6</c:v>
                </c:pt>
                <c:pt idx="6">
                  <c:v>7</c:v>
                </c:pt>
                <c:pt idx="7">
                  <c:v>8</c:v>
                </c:pt>
                <c:pt idx="8">
                  <c:v>9</c:v>
                </c:pt>
              </c:numCache>
            </c:numRef>
          </c:xVal>
          <c:yVal>
            <c:numRef>
              <c:f>'LMV3 Basic'!$J$17:$J$25</c:f>
              <c:numCache>
                <c:formatCode>0.0</c:formatCode>
                <c:ptCount val="9"/>
              </c:numCache>
            </c:numRef>
          </c:yVal>
          <c:smooth val="0"/>
        </c:ser>
        <c:ser>
          <c:idx val="2"/>
          <c:order val="2"/>
          <c:tx>
            <c:v>VSD</c:v>
          </c:tx>
          <c:spPr>
            <a:ln w="12700"/>
          </c:spPr>
          <c:xVal>
            <c:numRef>
              <c:f>'LMV3 Basic'!$B$17:$B$25</c:f>
              <c:numCache>
                <c:formatCode>General</c:formatCode>
                <c:ptCount val="9"/>
                <c:pt idx="0">
                  <c:v>1</c:v>
                </c:pt>
                <c:pt idx="1">
                  <c:v>2</c:v>
                </c:pt>
                <c:pt idx="2">
                  <c:v>3</c:v>
                </c:pt>
                <c:pt idx="3">
                  <c:v>4</c:v>
                </c:pt>
                <c:pt idx="4">
                  <c:v>5</c:v>
                </c:pt>
                <c:pt idx="5">
                  <c:v>6</c:v>
                </c:pt>
                <c:pt idx="6">
                  <c:v>7</c:v>
                </c:pt>
                <c:pt idx="7">
                  <c:v>8</c:v>
                </c:pt>
                <c:pt idx="8">
                  <c:v>9</c:v>
                </c:pt>
              </c:numCache>
            </c:numRef>
          </c:xVal>
          <c:yVal>
            <c:numRef>
              <c:f>'LMV3 Basic'!$K$17:$K$25</c:f>
              <c:numCache>
                <c:formatCode>0.0</c:formatCode>
                <c:ptCount val="9"/>
              </c:numCache>
            </c:numRef>
          </c:yVal>
          <c:smooth val="0"/>
        </c:ser>
        <c:dLbls>
          <c:showLegendKey val="0"/>
          <c:showVal val="0"/>
          <c:showCatName val="0"/>
          <c:showSerName val="0"/>
          <c:showPercent val="0"/>
          <c:showBubbleSize val="0"/>
        </c:dLbls>
        <c:axId val="175706880"/>
        <c:axId val="175708800"/>
      </c:scatterChart>
      <c:valAx>
        <c:axId val="175706880"/>
        <c:scaling>
          <c:orientation val="minMax"/>
          <c:max val="9.1"/>
          <c:min val="0"/>
        </c:scaling>
        <c:delete val="0"/>
        <c:axPos val="b"/>
        <c:title>
          <c:tx>
            <c:rich>
              <a:bodyPr/>
              <a:lstStyle/>
              <a:p>
                <a:pPr>
                  <a:defRPr/>
                </a:pPr>
                <a:r>
                  <a:rPr lang="en-US"/>
                  <a:t>Point</a:t>
                </a:r>
              </a:p>
            </c:rich>
          </c:tx>
          <c:layout/>
          <c:overlay val="0"/>
        </c:title>
        <c:numFmt formatCode="0" sourceLinked="0"/>
        <c:majorTickMark val="out"/>
        <c:minorTickMark val="out"/>
        <c:tickLblPos val="nextTo"/>
        <c:crossAx val="175708800"/>
        <c:crosses val="autoZero"/>
        <c:crossBetween val="midCat"/>
      </c:valAx>
      <c:valAx>
        <c:axId val="175708800"/>
        <c:scaling>
          <c:orientation val="minMax"/>
          <c:max val="100"/>
          <c:min val="0"/>
        </c:scaling>
        <c:delete val="0"/>
        <c:axPos val="l"/>
        <c:majorGridlines/>
        <c:title>
          <c:tx>
            <c:rich>
              <a:bodyPr/>
              <a:lstStyle/>
              <a:p>
                <a:pPr>
                  <a:defRPr/>
                </a:pPr>
                <a:r>
                  <a:rPr lang="en-US"/>
                  <a:t>Degrees</a:t>
                </a:r>
                <a:r>
                  <a:rPr lang="en-US" baseline="0"/>
                  <a:t> or %</a:t>
                </a:r>
                <a:endParaRPr lang="en-US"/>
              </a:p>
            </c:rich>
          </c:tx>
          <c:layout/>
          <c:overlay val="0"/>
        </c:title>
        <c:numFmt formatCode="0" sourceLinked="0"/>
        <c:majorTickMark val="none"/>
        <c:minorTickMark val="none"/>
        <c:tickLblPos val="nextTo"/>
        <c:crossAx val="175706880"/>
        <c:crosses val="autoZero"/>
        <c:crossBetween val="midCat"/>
        <c:minorUnit val="5"/>
      </c:valAx>
    </c:plotArea>
    <c:legend>
      <c:legendPos val="r"/>
      <c:layout>
        <c:manualLayout>
          <c:xMode val="edge"/>
          <c:yMode val="edge"/>
          <c:x val="0.87482517482518174"/>
          <c:y val="1.0982781716600932E-2"/>
          <c:w val="0.12284382284382286"/>
          <c:h val="0.37516417812918856"/>
        </c:manualLayout>
      </c:layout>
      <c:overlay val="0"/>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Ratio Control Curves</a:t>
            </a:r>
            <a:endParaRPr lang="en-US" sz="1200"/>
          </a:p>
        </c:rich>
      </c:tx>
      <c:layout/>
      <c:overlay val="0"/>
    </c:title>
    <c:autoTitleDeleted val="0"/>
    <c:plotArea>
      <c:layout>
        <c:manualLayout>
          <c:layoutTarget val="inner"/>
          <c:xMode val="edge"/>
          <c:yMode val="edge"/>
          <c:x val="0.14093782831601495"/>
          <c:y val="0.12928019196345228"/>
          <c:w val="0.73132176547238525"/>
          <c:h val="0.70943426789224029"/>
        </c:manualLayout>
      </c:layout>
      <c:scatterChart>
        <c:scatterStyle val="lineMarker"/>
        <c:varyColors val="0"/>
        <c:ser>
          <c:idx val="0"/>
          <c:order val="0"/>
          <c:tx>
            <c:v>Air</c:v>
          </c:tx>
          <c:spPr>
            <a:ln w="12700"/>
          </c:spPr>
          <c:xVal>
            <c:numRef>
              <c:f>'LMV51 Basic'!$E$18:$E$27</c:f>
              <c:numCache>
                <c:formatCode>0.0</c:formatCode>
                <c:ptCount val="10"/>
                <c:pt idx="0">
                  <c:v>10</c:v>
                </c:pt>
                <c:pt idx="1">
                  <c:v>20</c:v>
                </c:pt>
                <c:pt idx="2">
                  <c:v>30</c:v>
                </c:pt>
                <c:pt idx="3">
                  <c:v>40</c:v>
                </c:pt>
                <c:pt idx="4">
                  <c:v>50</c:v>
                </c:pt>
                <c:pt idx="5">
                  <c:v>60</c:v>
                </c:pt>
                <c:pt idx="6">
                  <c:v>70</c:v>
                </c:pt>
                <c:pt idx="7">
                  <c:v>80</c:v>
                </c:pt>
                <c:pt idx="8">
                  <c:v>90</c:v>
                </c:pt>
                <c:pt idx="9">
                  <c:v>100</c:v>
                </c:pt>
              </c:numCache>
            </c:numRef>
          </c:xVal>
          <c:yVal>
            <c:numRef>
              <c:f>'LMV51 Basic'!$K$18:$K$27</c:f>
              <c:numCache>
                <c:formatCode>0.0</c:formatCode>
                <c:ptCount val="10"/>
              </c:numCache>
            </c:numRef>
          </c:yVal>
          <c:smooth val="0"/>
        </c:ser>
        <c:ser>
          <c:idx val="1"/>
          <c:order val="1"/>
          <c:tx>
            <c:v>Fuel</c:v>
          </c:tx>
          <c:spPr>
            <a:ln w="12700"/>
          </c:spPr>
          <c:xVal>
            <c:numRef>
              <c:f>'LMV51 Basic'!$E$18:$E$27</c:f>
              <c:numCache>
                <c:formatCode>0.0</c:formatCode>
                <c:ptCount val="10"/>
                <c:pt idx="0">
                  <c:v>10</c:v>
                </c:pt>
                <c:pt idx="1">
                  <c:v>20</c:v>
                </c:pt>
                <c:pt idx="2">
                  <c:v>30</c:v>
                </c:pt>
                <c:pt idx="3">
                  <c:v>40</c:v>
                </c:pt>
                <c:pt idx="4">
                  <c:v>50</c:v>
                </c:pt>
                <c:pt idx="5">
                  <c:v>60</c:v>
                </c:pt>
                <c:pt idx="6">
                  <c:v>70</c:v>
                </c:pt>
                <c:pt idx="7">
                  <c:v>80</c:v>
                </c:pt>
                <c:pt idx="8">
                  <c:v>90</c:v>
                </c:pt>
                <c:pt idx="9">
                  <c:v>100</c:v>
                </c:pt>
              </c:numCache>
            </c:numRef>
          </c:xVal>
          <c:yVal>
            <c:numRef>
              <c:f>'LMV51 Basic'!$L$18:$L$27</c:f>
              <c:numCache>
                <c:formatCode>0.0</c:formatCode>
                <c:ptCount val="10"/>
              </c:numCache>
            </c:numRef>
          </c:yVal>
          <c:smooth val="0"/>
        </c:ser>
        <c:ser>
          <c:idx val="3"/>
          <c:order val="2"/>
          <c:tx>
            <c:v>Aux</c:v>
          </c:tx>
          <c:spPr>
            <a:ln w="12700"/>
          </c:spPr>
          <c:xVal>
            <c:numRef>
              <c:f>'LMV51 Basic'!$E$18:$E$27</c:f>
              <c:numCache>
                <c:formatCode>0.0</c:formatCode>
                <c:ptCount val="10"/>
                <c:pt idx="0">
                  <c:v>10</c:v>
                </c:pt>
                <c:pt idx="1">
                  <c:v>20</c:v>
                </c:pt>
                <c:pt idx="2">
                  <c:v>30</c:v>
                </c:pt>
                <c:pt idx="3">
                  <c:v>40</c:v>
                </c:pt>
                <c:pt idx="4">
                  <c:v>50</c:v>
                </c:pt>
                <c:pt idx="5">
                  <c:v>60</c:v>
                </c:pt>
                <c:pt idx="6">
                  <c:v>70</c:v>
                </c:pt>
                <c:pt idx="7">
                  <c:v>80</c:v>
                </c:pt>
                <c:pt idx="8">
                  <c:v>90</c:v>
                </c:pt>
                <c:pt idx="9">
                  <c:v>100</c:v>
                </c:pt>
              </c:numCache>
            </c:numRef>
          </c:xVal>
          <c:yVal>
            <c:numRef>
              <c:f>'LMV51 Basic'!$M$18:$M$27</c:f>
              <c:numCache>
                <c:formatCode>0.0</c:formatCode>
                <c:ptCount val="10"/>
              </c:numCache>
            </c:numRef>
          </c:yVal>
          <c:smooth val="0"/>
        </c:ser>
        <c:dLbls>
          <c:showLegendKey val="0"/>
          <c:showVal val="0"/>
          <c:showCatName val="0"/>
          <c:showSerName val="0"/>
          <c:showPercent val="0"/>
          <c:showBubbleSize val="0"/>
        </c:dLbls>
        <c:axId val="175805568"/>
        <c:axId val="175807488"/>
      </c:scatterChart>
      <c:valAx>
        <c:axId val="175805568"/>
        <c:scaling>
          <c:orientation val="minMax"/>
          <c:max val="100.1"/>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5807488"/>
        <c:crosses val="autoZero"/>
        <c:crossBetween val="midCat"/>
        <c:majorUnit val="10"/>
        <c:minorUnit val="5"/>
      </c:valAx>
      <c:valAx>
        <c:axId val="175807488"/>
        <c:scaling>
          <c:orientation val="minMax"/>
          <c:max val="100"/>
          <c:min val="0"/>
        </c:scaling>
        <c:delete val="0"/>
        <c:axPos val="l"/>
        <c:majorGridlines/>
        <c:title>
          <c:tx>
            <c:rich>
              <a:bodyPr/>
              <a:lstStyle/>
              <a:p>
                <a:pPr>
                  <a:defRPr/>
                </a:pPr>
                <a:r>
                  <a:rPr lang="en-US"/>
                  <a:t>Degrees</a:t>
                </a:r>
                <a:r>
                  <a:rPr lang="en-US" baseline="0"/>
                  <a:t> or %</a:t>
                </a:r>
                <a:endParaRPr lang="en-US"/>
              </a:p>
            </c:rich>
          </c:tx>
          <c:layout/>
          <c:overlay val="0"/>
        </c:title>
        <c:numFmt formatCode="0" sourceLinked="0"/>
        <c:majorTickMark val="none"/>
        <c:minorTickMark val="none"/>
        <c:tickLblPos val="nextTo"/>
        <c:crossAx val="175805568"/>
        <c:crosses val="autoZero"/>
        <c:crossBetween val="midCat"/>
        <c:minorUnit val="5"/>
      </c:valAx>
    </c:plotArea>
    <c:legend>
      <c:legendPos val="r"/>
      <c:layout>
        <c:manualLayout>
          <c:xMode val="edge"/>
          <c:yMode val="edge"/>
          <c:x val="0.87482517482518141"/>
          <c:y val="1.0982781716600925E-2"/>
          <c:w val="0.12284382284382286"/>
          <c:h val="0.37516417812918845"/>
        </c:manualLayout>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Lambda</a:t>
            </a:r>
          </a:p>
        </c:rich>
      </c:tx>
      <c:layout/>
      <c:overlay val="0"/>
    </c:title>
    <c:autoTitleDeleted val="0"/>
    <c:plotArea>
      <c:layout>
        <c:manualLayout>
          <c:layoutTarget val="inner"/>
          <c:xMode val="edge"/>
          <c:yMode val="edge"/>
          <c:x val="0.1188959267966348"/>
          <c:y val="0.15379224800847432"/>
          <c:w val="0.76983184305352592"/>
          <c:h val="0.69541574572914822"/>
        </c:manualLayout>
      </c:layout>
      <c:scatterChart>
        <c:scatterStyle val="lineMarker"/>
        <c:varyColors val="0"/>
        <c:ser>
          <c:idx val="0"/>
          <c:order val="0"/>
          <c:tx>
            <c:v>Lambda F</c:v>
          </c:tx>
          <c:spPr>
            <a:ln w="12700"/>
          </c:spPr>
          <c:xVal>
            <c:numRef>
              <c:f>'LMV52 O2 Trim'!$A$50:$A$58</c:f>
              <c:numCache>
                <c:formatCode>0.0</c:formatCode>
                <c:ptCount val="9"/>
                <c:pt idx="0">
                  <c:v>25.925925925925931</c:v>
                </c:pt>
                <c:pt idx="1">
                  <c:v>35.185185185185183</c:v>
                </c:pt>
                <c:pt idx="2">
                  <c:v>44.444444444444443</c:v>
                </c:pt>
                <c:pt idx="3">
                  <c:v>53.703703703703695</c:v>
                </c:pt>
                <c:pt idx="4">
                  <c:v>62.962962962962962</c:v>
                </c:pt>
                <c:pt idx="5">
                  <c:v>72.222222222222214</c:v>
                </c:pt>
                <c:pt idx="6">
                  <c:v>81.481481481481495</c:v>
                </c:pt>
                <c:pt idx="7">
                  <c:v>90.740740740740748</c:v>
                </c:pt>
                <c:pt idx="8">
                  <c:v>100.00000000000003</c:v>
                </c:pt>
              </c:numCache>
            </c:numRef>
          </c:xVal>
          <c:yVal>
            <c:numRef>
              <c:f>'LMV52 O2 Trim'!$D$50:$D$58</c:f>
              <c:numCache>
                <c:formatCode>0.00</c:formatCode>
                <c:ptCount val="9"/>
                <c:pt idx="0">
                  <c:v>0</c:v>
                </c:pt>
                <c:pt idx="1">
                  <c:v>0</c:v>
                </c:pt>
                <c:pt idx="2">
                  <c:v>0</c:v>
                </c:pt>
                <c:pt idx="3">
                  <c:v>0</c:v>
                </c:pt>
                <c:pt idx="4">
                  <c:v>0</c:v>
                </c:pt>
                <c:pt idx="5">
                  <c:v>0</c:v>
                </c:pt>
                <c:pt idx="6">
                  <c:v>0</c:v>
                </c:pt>
                <c:pt idx="7">
                  <c:v>0</c:v>
                </c:pt>
                <c:pt idx="8">
                  <c:v>0</c:v>
                </c:pt>
              </c:numCache>
            </c:numRef>
          </c:yVal>
          <c:smooth val="0"/>
        </c:ser>
        <c:ser>
          <c:idx val="1"/>
          <c:order val="1"/>
          <c:tx>
            <c:v>Average</c:v>
          </c:tx>
          <c:spPr>
            <a:ln w="19050"/>
          </c:spPr>
          <c:xVal>
            <c:numRef>
              <c:f>'LMV52 O2 Trim'!$A$50:$A$58</c:f>
              <c:numCache>
                <c:formatCode>0.0</c:formatCode>
                <c:ptCount val="9"/>
                <c:pt idx="0">
                  <c:v>25.925925925925931</c:v>
                </c:pt>
                <c:pt idx="1">
                  <c:v>35.185185185185183</c:v>
                </c:pt>
                <c:pt idx="2">
                  <c:v>44.444444444444443</c:v>
                </c:pt>
                <c:pt idx="3">
                  <c:v>53.703703703703695</c:v>
                </c:pt>
                <c:pt idx="4">
                  <c:v>62.962962962962962</c:v>
                </c:pt>
                <c:pt idx="5">
                  <c:v>72.222222222222214</c:v>
                </c:pt>
                <c:pt idx="6">
                  <c:v>81.481481481481495</c:v>
                </c:pt>
                <c:pt idx="7">
                  <c:v>90.740740740740748</c:v>
                </c:pt>
                <c:pt idx="8">
                  <c:v>100.00000000000003</c:v>
                </c:pt>
              </c:numCache>
            </c:numRef>
          </c:xVal>
          <c:yVal>
            <c:numRef>
              <c:f>'LMV52 O2 Trim'!$E$50:$E$58</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176182016"/>
        <c:axId val="176183936"/>
      </c:scatterChart>
      <c:valAx>
        <c:axId val="176182016"/>
        <c:scaling>
          <c:orientation val="minMax"/>
          <c:max val="100"/>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6183936"/>
        <c:crosses val="autoZero"/>
        <c:crossBetween val="midCat"/>
        <c:majorUnit val="10"/>
        <c:minorUnit val="5"/>
      </c:valAx>
      <c:valAx>
        <c:axId val="176183936"/>
        <c:scaling>
          <c:orientation val="minMax"/>
        </c:scaling>
        <c:delete val="0"/>
        <c:axPos val="l"/>
        <c:majorGridlines/>
        <c:title>
          <c:tx>
            <c:rich>
              <a:bodyPr/>
              <a:lstStyle/>
              <a:p>
                <a:pPr>
                  <a:defRPr/>
                </a:pPr>
                <a:r>
                  <a:rPr lang="en-US"/>
                  <a:t>Lambda</a:t>
                </a:r>
                <a:r>
                  <a:rPr lang="en-US" baseline="0"/>
                  <a:t>factor</a:t>
                </a:r>
                <a:endParaRPr lang="en-US"/>
              </a:p>
            </c:rich>
          </c:tx>
          <c:layout/>
          <c:overlay val="0"/>
        </c:title>
        <c:numFmt formatCode="0.00" sourceLinked="1"/>
        <c:majorTickMark val="none"/>
        <c:minorTickMark val="none"/>
        <c:tickLblPos val="nextTo"/>
        <c:crossAx val="176182016"/>
        <c:crosses val="autoZero"/>
        <c:crossBetween val="midCat"/>
      </c:valAx>
    </c:plotArea>
    <c:legend>
      <c:legendPos val="r"/>
      <c:layout>
        <c:manualLayout>
          <c:xMode val="edge"/>
          <c:yMode val="edge"/>
          <c:x val="0.74763146458062191"/>
          <c:y val="2.2677510705898813E-2"/>
          <c:w val="0.15241199478487782"/>
          <c:h val="0.12487509784961102"/>
        </c:manualLayout>
      </c:layout>
      <c:overlay val="0"/>
    </c:legend>
    <c:plotVisOnly val="1"/>
    <c:dispBlanksAs val="gap"/>
    <c:showDLblsOverMax val="0"/>
  </c:chart>
  <c:printSettings>
    <c:headerFooter/>
    <c:pageMargins b="0.75000000000000422" l="0.70000000000000062" r="0.70000000000000062" t="0.750000000000004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Ratio Control Curves</a:t>
            </a:r>
            <a:endParaRPr lang="en-US" sz="1200"/>
          </a:p>
        </c:rich>
      </c:tx>
      <c:layout/>
      <c:overlay val="0"/>
    </c:title>
    <c:autoTitleDeleted val="0"/>
    <c:plotArea>
      <c:layout>
        <c:manualLayout>
          <c:layoutTarget val="inner"/>
          <c:xMode val="edge"/>
          <c:yMode val="edge"/>
          <c:x val="0.14093782831601495"/>
          <c:y val="0.12928019196345228"/>
          <c:w val="0.73132176547238525"/>
          <c:h val="0.70943426789224062"/>
        </c:manualLayout>
      </c:layout>
      <c:scatterChart>
        <c:scatterStyle val="lineMarker"/>
        <c:varyColors val="0"/>
        <c:ser>
          <c:idx val="0"/>
          <c:order val="0"/>
          <c:tx>
            <c:v>Air</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Trim'!$K$19:$K$28</c:f>
              <c:numCache>
                <c:formatCode>0.0</c:formatCode>
                <c:ptCount val="10"/>
              </c:numCache>
            </c:numRef>
          </c:yVal>
          <c:smooth val="0"/>
        </c:ser>
        <c:ser>
          <c:idx val="1"/>
          <c:order val="1"/>
          <c:tx>
            <c:v>Fuel</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Trim'!$L$19:$L$28</c:f>
              <c:numCache>
                <c:formatCode>0.0</c:formatCode>
                <c:ptCount val="10"/>
              </c:numCache>
            </c:numRef>
          </c:yVal>
          <c:smooth val="0"/>
        </c:ser>
        <c:ser>
          <c:idx val="2"/>
          <c:order val="2"/>
          <c:tx>
            <c:v>VSD</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Trim'!$M$19:$M$28</c:f>
              <c:numCache>
                <c:formatCode>0.0</c:formatCode>
                <c:ptCount val="10"/>
              </c:numCache>
            </c:numRef>
          </c:yVal>
          <c:smooth val="0"/>
        </c:ser>
        <c:ser>
          <c:idx val="3"/>
          <c:order val="3"/>
          <c:tx>
            <c:v>Aux 1</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Trim'!$N$19:$N$28</c:f>
              <c:numCache>
                <c:formatCode>0.0</c:formatCode>
                <c:ptCount val="10"/>
              </c:numCache>
            </c:numRef>
          </c:yVal>
          <c:smooth val="0"/>
        </c:ser>
        <c:ser>
          <c:idx val="4"/>
          <c:order val="4"/>
          <c:tx>
            <c:v>Aux 2</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Trim'!$O$19:$O$28</c:f>
              <c:numCache>
                <c:formatCode>0.0</c:formatCode>
                <c:ptCount val="10"/>
              </c:numCache>
            </c:numRef>
          </c:yVal>
          <c:smooth val="0"/>
        </c:ser>
        <c:ser>
          <c:idx val="5"/>
          <c:order val="5"/>
          <c:tx>
            <c:v>Aux 3</c:v>
          </c:tx>
          <c:spPr>
            <a:ln w="12700"/>
          </c:spPr>
          <c:xVal>
            <c:numRef>
              <c:f>'LMV52 O2 Trim'!$E$19:$E$28</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Trim'!$P$19:$P$28</c:f>
              <c:numCache>
                <c:formatCode>0.0</c:formatCode>
                <c:ptCount val="10"/>
              </c:numCache>
            </c:numRef>
          </c:yVal>
          <c:smooth val="0"/>
        </c:ser>
        <c:dLbls>
          <c:showLegendKey val="0"/>
          <c:showVal val="0"/>
          <c:showCatName val="0"/>
          <c:showSerName val="0"/>
          <c:showPercent val="0"/>
          <c:showBubbleSize val="0"/>
        </c:dLbls>
        <c:axId val="176241664"/>
        <c:axId val="176264320"/>
      </c:scatterChart>
      <c:valAx>
        <c:axId val="176241664"/>
        <c:scaling>
          <c:orientation val="minMax"/>
          <c:max val="100.1"/>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6264320"/>
        <c:crosses val="autoZero"/>
        <c:crossBetween val="midCat"/>
        <c:majorUnit val="10"/>
        <c:minorUnit val="5"/>
      </c:valAx>
      <c:valAx>
        <c:axId val="176264320"/>
        <c:scaling>
          <c:orientation val="minMax"/>
          <c:max val="100"/>
          <c:min val="0"/>
        </c:scaling>
        <c:delete val="0"/>
        <c:axPos val="l"/>
        <c:majorGridlines/>
        <c:title>
          <c:tx>
            <c:rich>
              <a:bodyPr/>
              <a:lstStyle/>
              <a:p>
                <a:pPr>
                  <a:defRPr/>
                </a:pPr>
                <a:r>
                  <a:rPr lang="en-US"/>
                  <a:t>Degrees</a:t>
                </a:r>
                <a:r>
                  <a:rPr lang="en-US" baseline="0"/>
                  <a:t> or %</a:t>
                </a:r>
                <a:endParaRPr lang="en-US"/>
              </a:p>
            </c:rich>
          </c:tx>
          <c:layout/>
          <c:overlay val="0"/>
        </c:title>
        <c:numFmt formatCode="0" sourceLinked="0"/>
        <c:majorTickMark val="none"/>
        <c:minorTickMark val="none"/>
        <c:tickLblPos val="nextTo"/>
        <c:crossAx val="176241664"/>
        <c:crosses val="autoZero"/>
        <c:crossBetween val="midCat"/>
        <c:minorUnit val="5"/>
      </c:valAx>
    </c:plotArea>
    <c:legend>
      <c:legendPos val="r"/>
      <c:layout>
        <c:manualLayout>
          <c:xMode val="edge"/>
          <c:yMode val="edge"/>
          <c:x val="0.87482517482518096"/>
          <c:y val="1.0982781716600921E-2"/>
          <c:w val="0.12284382284382286"/>
          <c:h val="0.37516417812918834"/>
        </c:manualLayout>
      </c:layout>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O2 Control - Alarm  Curves</a:t>
            </a:r>
            <a:endParaRPr lang="en-US" sz="1200"/>
          </a:p>
        </c:rich>
      </c:tx>
      <c:layout/>
      <c:overlay val="0"/>
    </c:title>
    <c:autoTitleDeleted val="0"/>
    <c:plotArea>
      <c:layout>
        <c:manualLayout>
          <c:layoutTarget val="inner"/>
          <c:xMode val="edge"/>
          <c:yMode val="edge"/>
          <c:x val="0.10607024017395417"/>
          <c:y val="0.1359601091947685"/>
          <c:w val="0.70496324820711276"/>
          <c:h val="0.70603299587551549"/>
        </c:manualLayout>
      </c:layout>
      <c:scatterChart>
        <c:scatterStyle val="lineMarker"/>
        <c:varyColors val="0"/>
        <c:ser>
          <c:idx val="0"/>
          <c:order val="0"/>
          <c:tx>
            <c:v>O2 Ratio Con</c:v>
          </c:tx>
          <c:spPr>
            <a:ln w="12700"/>
          </c:spPr>
          <c:marker>
            <c:spPr>
              <a:solidFill>
                <a:srgbClr val="0070C0"/>
              </a:solidFill>
            </c:spPr>
          </c:marker>
          <c:xVal>
            <c:numRef>
              <c:f>'LMV52 O2 Trim'!$C$36:$C$44</c:f>
              <c:numCache>
                <c:formatCode>0.0</c:formatCode>
                <c:ptCount val="9"/>
                <c:pt idx="0">
                  <c:v>25.925925925925931</c:v>
                </c:pt>
                <c:pt idx="1">
                  <c:v>35.185185185185183</c:v>
                </c:pt>
                <c:pt idx="2">
                  <c:v>44.444444444444443</c:v>
                </c:pt>
                <c:pt idx="3">
                  <c:v>53.703703703703695</c:v>
                </c:pt>
                <c:pt idx="4">
                  <c:v>62.962962962962962</c:v>
                </c:pt>
                <c:pt idx="5">
                  <c:v>72.222222222222214</c:v>
                </c:pt>
                <c:pt idx="6">
                  <c:v>81.481481481481495</c:v>
                </c:pt>
                <c:pt idx="7">
                  <c:v>90.740740740740748</c:v>
                </c:pt>
                <c:pt idx="8">
                  <c:v>100.00000000000003</c:v>
                </c:pt>
              </c:numCache>
            </c:numRef>
          </c:xVal>
          <c:yVal>
            <c:numRef>
              <c:f>'LMV52 O2 Trim'!$H$36:$H$44</c:f>
              <c:numCache>
                <c:formatCode>0.0</c:formatCode>
                <c:ptCount val="9"/>
              </c:numCache>
            </c:numRef>
          </c:yVal>
          <c:smooth val="0"/>
        </c:ser>
        <c:ser>
          <c:idx val="1"/>
          <c:order val="1"/>
          <c:tx>
            <c:v>O2 Control</c:v>
          </c:tx>
          <c:spPr>
            <a:ln w="12700">
              <a:solidFill>
                <a:srgbClr val="00B050"/>
              </a:solidFill>
            </a:ln>
          </c:spPr>
          <c:marker>
            <c:spPr>
              <a:solidFill>
                <a:srgbClr val="00B050"/>
              </a:solidFill>
              <a:ln>
                <a:solidFill>
                  <a:srgbClr val="00B050"/>
                </a:solidFill>
              </a:ln>
            </c:spPr>
          </c:marker>
          <c:xVal>
            <c:numRef>
              <c:f>'LMV52 O2 Trim'!$C$36:$C$44</c:f>
              <c:numCache>
                <c:formatCode>0.0</c:formatCode>
                <c:ptCount val="9"/>
                <c:pt idx="0">
                  <c:v>25.925925925925931</c:v>
                </c:pt>
                <c:pt idx="1">
                  <c:v>35.185185185185183</c:v>
                </c:pt>
                <c:pt idx="2">
                  <c:v>44.444444444444443</c:v>
                </c:pt>
                <c:pt idx="3">
                  <c:v>53.703703703703695</c:v>
                </c:pt>
                <c:pt idx="4">
                  <c:v>62.962962962962962</c:v>
                </c:pt>
                <c:pt idx="5">
                  <c:v>72.222222222222214</c:v>
                </c:pt>
                <c:pt idx="6">
                  <c:v>81.481481481481495</c:v>
                </c:pt>
                <c:pt idx="7">
                  <c:v>90.740740740740748</c:v>
                </c:pt>
                <c:pt idx="8">
                  <c:v>100.00000000000003</c:v>
                </c:pt>
              </c:numCache>
            </c:numRef>
          </c:xVal>
          <c:yVal>
            <c:numRef>
              <c:f>'LMV52 O2 Trim'!$I$36:$I$44</c:f>
              <c:numCache>
                <c:formatCode>0.0</c:formatCode>
                <c:ptCount val="9"/>
              </c:numCache>
            </c:numRef>
          </c:yVal>
          <c:smooth val="0"/>
        </c:ser>
        <c:ser>
          <c:idx val="3"/>
          <c:order val="2"/>
          <c:tx>
            <c:v>O2 MaxValue</c:v>
          </c:tx>
          <c:spPr>
            <a:ln w="19050">
              <a:solidFill>
                <a:srgbClr val="7030A0"/>
              </a:solidFill>
            </a:ln>
          </c:spPr>
          <c:marker>
            <c:spPr>
              <a:solidFill>
                <a:srgbClr val="7030A0"/>
              </a:solidFill>
              <a:ln>
                <a:solidFill>
                  <a:srgbClr val="7030A0"/>
                </a:solidFill>
              </a:ln>
            </c:spPr>
          </c:marker>
          <c:xVal>
            <c:numRef>
              <c:f>'LMV52 O2 Trim'!$C$35:$C$44</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Trim'!$G$35:$G$44</c:f>
              <c:numCache>
                <c:formatCode>0.0</c:formatCode>
                <c:ptCount val="10"/>
              </c:numCache>
            </c:numRef>
          </c:yVal>
          <c:smooth val="0"/>
        </c:ser>
        <c:ser>
          <c:idx val="2"/>
          <c:order val="3"/>
          <c:tx>
            <c:v>O2 Alarm R</c:v>
          </c:tx>
          <c:spPr>
            <a:ln w="19050">
              <a:solidFill>
                <a:srgbClr val="FF0000"/>
              </a:solidFill>
            </a:ln>
          </c:spPr>
          <c:marker>
            <c:spPr>
              <a:solidFill>
                <a:srgbClr val="FF0000"/>
              </a:solidFill>
              <a:ln>
                <a:solidFill>
                  <a:srgbClr val="FF0000"/>
                </a:solidFill>
              </a:ln>
            </c:spPr>
          </c:marker>
          <c:xVal>
            <c:numRef>
              <c:f>'LMV52 O2 Trim'!$C$35:$C$44</c:f>
              <c:numCache>
                <c:formatCode>0.0</c:formatCode>
                <c:ptCount val="10"/>
                <c:pt idx="0">
                  <c:v>16.666666666666668</c:v>
                </c:pt>
                <c:pt idx="1">
                  <c:v>25.925925925925931</c:v>
                </c:pt>
                <c:pt idx="2">
                  <c:v>35.185185185185183</c:v>
                </c:pt>
                <c:pt idx="3">
                  <c:v>44.444444444444443</c:v>
                </c:pt>
                <c:pt idx="4">
                  <c:v>53.703703703703695</c:v>
                </c:pt>
                <c:pt idx="5">
                  <c:v>62.962962962962962</c:v>
                </c:pt>
                <c:pt idx="6">
                  <c:v>72.222222222222214</c:v>
                </c:pt>
                <c:pt idx="7">
                  <c:v>81.481481481481495</c:v>
                </c:pt>
                <c:pt idx="8">
                  <c:v>90.740740740740748</c:v>
                </c:pt>
                <c:pt idx="9">
                  <c:v>100.00000000000003</c:v>
                </c:pt>
              </c:numCache>
            </c:numRef>
          </c:xVal>
          <c:yVal>
            <c:numRef>
              <c:f>'LMV52 O2 Trim'!$F$35:$F$44</c:f>
              <c:numCache>
                <c:formatCode>0.0</c:formatCode>
                <c:ptCount val="10"/>
              </c:numCache>
            </c:numRef>
          </c:yVal>
          <c:smooth val="0"/>
        </c:ser>
        <c:dLbls>
          <c:showLegendKey val="0"/>
          <c:showVal val="0"/>
          <c:showCatName val="0"/>
          <c:showSerName val="0"/>
          <c:showPercent val="0"/>
          <c:showBubbleSize val="0"/>
        </c:dLbls>
        <c:axId val="176291200"/>
        <c:axId val="176555904"/>
      </c:scatterChart>
      <c:valAx>
        <c:axId val="176291200"/>
        <c:scaling>
          <c:orientation val="minMax"/>
          <c:max val="100.1"/>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6555904"/>
        <c:crosses val="autoZero"/>
        <c:crossBetween val="midCat"/>
        <c:majorUnit val="10"/>
        <c:minorUnit val="5"/>
      </c:valAx>
      <c:valAx>
        <c:axId val="176555904"/>
        <c:scaling>
          <c:orientation val="minMax"/>
        </c:scaling>
        <c:delete val="0"/>
        <c:axPos val="l"/>
        <c:majorGridlines/>
        <c:title>
          <c:tx>
            <c:rich>
              <a:bodyPr/>
              <a:lstStyle/>
              <a:p>
                <a:pPr>
                  <a:defRPr/>
                </a:pPr>
                <a:r>
                  <a:rPr lang="en-US"/>
                  <a:t>%</a:t>
                </a:r>
                <a:r>
                  <a:rPr lang="en-US" baseline="0"/>
                  <a:t> O2 Wet</a:t>
                </a:r>
                <a:endParaRPr lang="en-US"/>
              </a:p>
            </c:rich>
          </c:tx>
          <c:layout/>
          <c:overlay val="0"/>
        </c:title>
        <c:numFmt formatCode="0.0" sourceLinked="1"/>
        <c:majorTickMark val="none"/>
        <c:minorTickMark val="out"/>
        <c:tickLblPos val="nextTo"/>
        <c:crossAx val="176291200"/>
        <c:crosses val="autoZero"/>
        <c:crossBetween val="midCat"/>
        <c:majorUnit val="1"/>
        <c:minorUnit val="0.5"/>
      </c:valAx>
    </c:plotArea>
    <c:legend>
      <c:legendPos val="r"/>
      <c:layout>
        <c:manualLayout>
          <c:xMode val="edge"/>
          <c:yMode val="edge"/>
          <c:x val="0.81639925762418919"/>
          <c:y val="1.4559565324875453E-2"/>
          <c:w val="0.17662724167847221"/>
          <c:h val="0.24158868918940399"/>
        </c:manualLayout>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Lambda</a:t>
            </a:r>
          </a:p>
        </c:rich>
      </c:tx>
      <c:overlay val="0"/>
    </c:title>
    <c:autoTitleDeleted val="0"/>
    <c:plotArea>
      <c:layout>
        <c:manualLayout>
          <c:layoutTarget val="inner"/>
          <c:xMode val="edge"/>
          <c:yMode val="edge"/>
          <c:x val="0.11889592679663477"/>
          <c:y val="0.15379224800847424"/>
          <c:w val="0.76983184305352537"/>
          <c:h val="0.69541574572914844"/>
        </c:manualLayout>
      </c:layout>
      <c:scatterChart>
        <c:scatterStyle val="lineMarker"/>
        <c:varyColors val="0"/>
        <c:ser>
          <c:idx val="0"/>
          <c:order val="0"/>
          <c:tx>
            <c:v>Lambda F</c:v>
          </c:tx>
          <c:spPr>
            <a:ln w="12700"/>
          </c:spPr>
          <c:xVal>
            <c:numRef>
              <c:f>'LMV52 O2 Trim Mesh Burner'!$A$50:$A$58</c:f>
              <c:numCache>
                <c:formatCode>0.0</c:formatCode>
                <c:ptCount val="9"/>
                <c:pt idx="0">
                  <c:v>10</c:v>
                </c:pt>
                <c:pt idx="1">
                  <c:v>21.25</c:v>
                </c:pt>
                <c:pt idx="2">
                  <c:v>32.5</c:v>
                </c:pt>
                <c:pt idx="3">
                  <c:v>43.75</c:v>
                </c:pt>
                <c:pt idx="4">
                  <c:v>55.000000000000007</c:v>
                </c:pt>
                <c:pt idx="5">
                  <c:v>66.25</c:v>
                </c:pt>
                <c:pt idx="6">
                  <c:v>77.5</c:v>
                </c:pt>
                <c:pt idx="7">
                  <c:v>88.75</c:v>
                </c:pt>
                <c:pt idx="8">
                  <c:v>100</c:v>
                </c:pt>
              </c:numCache>
            </c:numRef>
          </c:xVal>
          <c:yVal>
            <c:numRef>
              <c:f>'LMV52 O2 Trim Mesh Burner'!$D$50:$D$58</c:f>
              <c:numCache>
                <c:formatCode>0.00</c:formatCode>
                <c:ptCount val="9"/>
                <c:pt idx="0">
                  <c:v>0</c:v>
                </c:pt>
                <c:pt idx="1">
                  <c:v>0</c:v>
                </c:pt>
                <c:pt idx="2">
                  <c:v>0</c:v>
                </c:pt>
                <c:pt idx="3">
                  <c:v>0</c:v>
                </c:pt>
                <c:pt idx="4">
                  <c:v>0</c:v>
                </c:pt>
                <c:pt idx="5">
                  <c:v>0</c:v>
                </c:pt>
                <c:pt idx="6">
                  <c:v>0</c:v>
                </c:pt>
                <c:pt idx="7">
                  <c:v>0</c:v>
                </c:pt>
                <c:pt idx="8">
                  <c:v>0</c:v>
                </c:pt>
              </c:numCache>
            </c:numRef>
          </c:yVal>
          <c:smooth val="0"/>
        </c:ser>
        <c:ser>
          <c:idx val="1"/>
          <c:order val="1"/>
          <c:tx>
            <c:v>Average</c:v>
          </c:tx>
          <c:spPr>
            <a:ln w="19050"/>
          </c:spPr>
          <c:xVal>
            <c:numRef>
              <c:f>'LMV52 O2 Trim Mesh Burner'!$A$50:$A$58</c:f>
              <c:numCache>
                <c:formatCode>0.0</c:formatCode>
                <c:ptCount val="9"/>
                <c:pt idx="0">
                  <c:v>10</c:v>
                </c:pt>
                <c:pt idx="1">
                  <c:v>21.25</c:v>
                </c:pt>
                <c:pt idx="2">
                  <c:v>32.5</c:v>
                </c:pt>
                <c:pt idx="3">
                  <c:v>43.75</c:v>
                </c:pt>
                <c:pt idx="4">
                  <c:v>55.000000000000007</c:v>
                </c:pt>
                <c:pt idx="5">
                  <c:v>66.25</c:v>
                </c:pt>
                <c:pt idx="6">
                  <c:v>77.5</c:v>
                </c:pt>
                <c:pt idx="7">
                  <c:v>88.75</c:v>
                </c:pt>
                <c:pt idx="8">
                  <c:v>100</c:v>
                </c:pt>
              </c:numCache>
            </c:numRef>
          </c:xVal>
          <c:yVal>
            <c:numRef>
              <c:f>'LMV52 O2 Trim Mesh Burner'!$E$50:$E$58</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175877504"/>
        <c:axId val="175883776"/>
      </c:scatterChart>
      <c:valAx>
        <c:axId val="175877504"/>
        <c:scaling>
          <c:orientation val="minMax"/>
          <c:max val="100"/>
          <c:min val="0"/>
        </c:scaling>
        <c:delete val="0"/>
        <c:axPos val="b"/>
        <c:title>
          <c:tx>
            <c:rich>
              <a:bodyPr/>
              <a:lstStyle/>
              <a:p>
                <a:pPr>
                  <a:defRPr/>
                </a:pPr>
                <a:r>
                  <a:rPr lang="en-US"/>
                  <a:t>%</a:t>
                </a:r>
                <a:r>
                  <a:rPr lang="en-US" baseline="0"/>
                  <a:t> Load</a:t>
                </a:r>
                <a:endParaRPr lang="en-US"/>
              </a:p>
            </c:rich>
          </c:tx>
          <c:overlay val="0"/>
        </c:title>
        <c:numFmt formatCode="0" sourceLinked="0"/>
        <c:majorTickMark val="out"/>
        <c:minorTickMark val="out"/>
        <c:tickLblPos val="nextTo"/>
        <c:crossAx val="175883776"/>
        <c:crosses val="autoZero"/>
        <c:crossBetween val="midCat"/>
        <c:majorUnit val="10"/>
        <c:minorUnit val="5"/>
      </c:valAx>
      <c:valAx>
        <c:axId val="175883776"/>
        <c:scaling>
          <c:orientation val="minMax"/>
        </c:scaling>
        <c:delete val="0"/>
        <c:axPos val="l"/>
        <c:majorGridlines/>
        <c:title>
          <c:tx>
            <c:rich>
              <a:bodyPr/>
              <a:lstStyle/>
              <a:p>
                <a:pPr>
                  <a:defRPr/>
                </a:pPr>
                <a:r>
                  <a:rPr lang="en-US"/>
                  <a:t>Lambda</a:t>
                </a:r>
                <a:r>
                  <a:rPr lang="en-US" baseline="0"/>
                  <a:t>factor</a:t>
                </a:r>
                <a:endParaRPr lang="en-US"/>
              </a:p>
            </c:rich>
          </c:tx>
          <c:overlay val="0"/>
        </c:title>
        <c:numFmt formatCode="0.00" sourceLinked="1"/>
        <c:majorTickMark val="none"/>
        <c:minorTickMark val="none"/>
        <c:tickLblPos val="nextTo"/>
        <c:crossAx val="175877504"/>
        <c:crosses val="autoZero"/>
        <c:crossBetween val="midCat"/>
      </c:valAx>
    </c:plotArea>
    <c:legend>
      <c:legendPos val="r"/>
      <c:layout>
        <c:manualLayout>
          <c:xMode val="edge"/>
          <c:yMode val="edge"/>
          <c:x val="0.74763146458062169"/>
          <c:y val="2.2677510705898806E-2"/>
          <c:w val="0.15241199478487774"/>
          <c:h val="0.12487509784961102"/>
        </c:manualLayout>
      </c:layou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Ratio Control Curves</a:t>
            </a:r>
            <a:endParaRPr lang="en-US" sz="1200"/>
          </a:p>
        </c:rich>
      </c:tx>
      <c:layout/>
      <c:overlay val="0"/>
    </c:title>
    <c:autoTitleDeleted val="0"/>
    <c:plotArea>
      <c:layout>
        <c:manualLayout>
          <c:layoutTarget val="inner"/>
          <c:xMode val="edge"/>
          <c:yMode val="edge"/>
          <c:x val="0.14093782831601495"/>
          <c:y val="0.12928019196345228"/>
          <c:w val="0.73132176547238525"/>
          <c:h val="0.70943426789224096"/>
        </c:manualLayout>
      </c:layout>
      <c:scatterChart>
        <c:scatterStyle val="lineMarker"/>
        <c:varyColors val="0"/>
        <c:ser>
          <c:idx val="0"/>
          <c:order val="0"/>
          <c:tx>
            <c:v>Air</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Burner'!$K$20:$K$29</c:f>
              <c:numCache>
                <c:formatCode>0.0</c:formatCode>
                <c:ptCount val="10"/>
              </c:numCache>
            </c:numRef>
          </c:yVal>
          <c:smooth val="0"/>
        </c:ser>
        <c:ser>
          <c:idx val="1"/>
          <c:order val="1"/>
          <c:tx>
            <c:v>Fuel</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Burner'!$L$20:$L$29</c:f>
              <c:numCache>
                <c:formatCode>0.0</c:formatCode>
                <c:ptCount val="10"/>
              </c:numCache>
            </c:numRef>
          </c:yVal>
          <c:smooth val="0"/>
        </c:ser>
        <c:ser>
          <c:idx val="2"/>
          <c:order val="2"/>
          <c:tx>
            <c:v>VSD</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Burner'!$M$20:$M$29</c:f>
              <c:numCache>
                <c:formatCode>0.0</c:formatCode>
                <c:ptCount val="10"/>
              </c:numCache>
            </c:numRef>
          </c:yVal>
          <c:smooth val="0"/>
        </c:ser>
        <c:ser>
          <c:idx val="3"/>
          <c:order val="3"/>
          <c:tx>
            <c:v>Aux 1</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Burner'!$N$20:$N$29</c:f>
              <c:numCache>
                <c:formatCode>0.0</c:formatCode>
                <c:ptCount val="10"/>
              </c:numCache>
            </c:numRef>
          </c:yVal>
          <c:smooth val="0"/>
        </c:ser>
        <c:ser>
          <c:idx val="4"/>
          <c:order val="4"/>
          <c:tx>
            <c:v>Aux 2</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Burner'!$O$20:$O$29</c:f>
              <c:numCache>
                <c:formatCode>0.0</c:formatCode>
                <c:ptCount val="10"/>
              </c:numCache>
            </c:numRef>
          </c:yVal>
          <c:smooth val="0"/>
        </c:ser>
        <c:ser>
          <c:idx val="5"/>
          <c:order val="5"/>
          <c:tx>
            <c:v>Aux 3</c:v>
          </c:tx>
          <c:spPr>
            <a:ln w="12700"/>
          </c:spPr>
          <c:xVal>
            <c:numRef>
              <c:f>'LMV52 O2 Trim Mesh Burner'!$E$20:$E$29</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Burner'!$P$20:$P$29</c:f>
              <c:numCache>
                <c:formatCode>0.0</c:formatCode>
                <c:ptCount val="10"/>
              </c:numCache>
            </c:numRef>
          </c:yVal>
          <c:smooth val="0"/>
        </c:ser>
        <c:dLbls>
          <c:showLegendKey val="0"/>
          <c:showVal val="0"/>
          <c:showCatName val="0"/>
          <c:showSerName val="0"/>
          <c:showPercent val="0"/>
          <c:showBubbleSize val="0"/>
        </c:dLbls>
        <c:axId val="176060288"/>
        <c:axId val="176062464"/>
      </c:scatterChart>
      <c:valAx>
        <c:axId val="176060288"/>
        <c:scaling>
          <c:orientation val="minMax"/>
          <c:max val="100.1"/>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6062464"/>
        <c:crosses val="autoZero"/>
        <c:crossBetween val="midCat"/>
        <c:majorUnit val="10"/>
        <c:minorUnit val="5"/>
      </c:valAx>
      <c:valAx>
        <c:axId val="176062464"/>
        <c:scaling>
          <c:orientation val="minMax"/>
          <c:max val="100"/>
          <c:min val="0"/>
        </c:scaling>
        <c:delete val="0"/>
        <c:axPos val="l"/>
        <c:majorGridlines/>
        <c:title>
          <c:tx>
            <c:rich>
              <a:bodyPr/>
              <a:lstStyle/>
              <a:p>
                <a:pPr>
                  <a:defRPr/>
                </a:pPr>
                <a:r>
                  <a:rPr lang="en-US"/>
                  <a:t>Degrees</a:t>
                </a:r>
                <a:r>
                  <a:rPr lang="en-US" baseline="0"/>
                  <a:t> or %</a:t>
                </a:r>
                <a:endParaRPr lang="en-US"/>
              </a:p>
            </c:rich>
          </c:tx>
          <c:layout/>
          <c:overlay val="0"/>
        </c:title>
        <c:numFmt formatCode="0" sourceLinked="0"/>
        <c:majorTickMark val="none"/>
        <c:minorTickMark val="none"/>
        <c:tickLblPos val="nextTo"/>
        <c:crossAx val="176060288"/>
        <c:crosses val="autoZero"/>
        <c:crossBetween val="midCat"/>
        <c:minorUnit val="5"/>
      </c:valAx>
    </c:plotArea>
    <c:legend>
      <c:legendPos val="r"/>
      <c:layout>
        <c:manualLayout>
          <c:xMode val="edge"/>
          <c:yMode val="edge"/>
          <c:x val="0.87482517482518074"/>
          <c:y val="1.0982781716600913E-2"/>
          <c:w val="0.12284382284382286"/>
          <c:h val="0.37516417812918817"/>
        </c:manualLayout>
      </c:layout>
      <c:overlay val="0"/>
    </c:legend>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t>O2 Control - Alarm  Curves</a:t>
            </a:r>
            <a:endParaRPr lang="en-US" sz="1200"/>
          </a:p>
        </c:rich>
      </c:tx>
      <c:layout/>
      <c:overlay val="0"/>
    </c:title>
    <c:autoTitleDeleted val="0"/>
    <c:plotArea>
      <c:layout>
        <c:manualLayout>
          <c:layoutTarget val="inner"/>
          <c:xMode val="edge"/>
          <c:yMode val="edge"/>
          <c:x val="0.10607024017395411"/>
          <c:y val="0.13596010919476845"/>
          <c:w val="0.70496324820711276"/>
          <c:h val="0.70603299587551549"/>
        </c:manualLayout>
      </c:layout>
      <c:scatterChart>
        <c:scatterStyle val="lineMarker"/>
        <c:varyColors val="0"/>
        <c:ser>
          <c:idx val="0"/>
          <c:order val="0"/>
          <c:tx>
            <c:v>O2 Ratio Con</c:v>
          </c:tx>
          <c:spPr>
            <a:ln w="12700"/>
          </c:spPr>
          <c:marker>
            <c:spPr>
              <a:solidFill>
                <a:srgbClr val="0070C0"/>
              </a:solidFill>
            </c:spPr>
          </c:marker>
          <c:xVal>
            <c:numRef>
              <c:f>'LMV52 O2 Trim Mesh Burner'!$C$37:$C$45</c:f>
              <c:numCache>
                <c:formatCode>0.0</c:formatCode>
                <c:ptCount val="9"/>
                <c:pt idx="0">
                  <c:v>10</c:v>
                </c:pt>
                <c:pt idx="1">
                  <c:v>21.25</c:v>
                </c:pt>
                <c:pt idx="2">
                  <c:v>32.5</c:v>
                </c:pt>
                <c:pt idx="3">
                  <c:v>43.75</c:v>
                </c:pt>
                <c:pt idx="4">
                  <c:v>55.000000000000007</c:v>
                </c:pt>
                <c:pt idx="5">
                  <c:v>66.25</c:v>
                </c:pt>
                <c:pt idx="6">
                  <c:v>77.5</c:v>
                </c:pt>
                <c:pt idx="7">
                  <c:v>88.75</c:v>
                </c:pt>
                <c:pt idx="8">
                  <c:v>100</c:v>
                </c:pt>
              </c:numCache>
            </c:numRef>
          </c:xVal>
          <c:yVal>
            <c:numRef>
              <c:f>'LMV52 O2 Trim Mesh Burner'!$G$37:$G$45</c:f>
              <c:numCache>
                <c:formatCode>0.0</c:formatCode>
                <c:ptCount val="9"/>
              </c:numCache>
            </c:numRef>
          </c:yVal>
          <c:smooth val="0"/>
        </c:ser>
        <c:ser>
          <c:idx val="1"/>
          <c:order val="1"/>
          <c:tx>
            <c:v>O2 Control</c:v>
          </c:tx>
          <c:spPr>
            <a:ln w="12700">
              <a:solidFill>
                <a:srgbClr val="00B050"/>
              </a:solidFill>
            </a:ln>
          </c:spPr>
          <c:marker>
            <c:spPr>
              <a:solidFill>
                <a:srgbClr val="00B050"/>
              </a:solidFill>
              <a:ln>
                <a:solidFill>
                  <a:srgbClr val="00B050"/>
                </a:solidFill>
              </a:ln>
            </c:spPr>
          </c:marker>
          <c:xVal>
            <c:numRef>
              <c:f>'LMV52 O2 Trim Mesh Burner'!$C$37:$C$45</c:f>
              <c:numCache>
                <c:formatCode>0.0</c:formatCode>
                <c:ptCount val="9"/>
                <c:pt idx="0">
                  <c:v>10</c:v>
                </c:pt>
                <c:pt idx="1">
                  <c:v>21.25</c:v>
                </c:pt>
                <c:pt idx="2">
                  <c:v>32.5</c:v>
                </c:pt>
                <c:pt idx="3">
                  <c:v>43.75</c:v>
                </c:pt>
                <c:pt idx="4">
                  <c:v>55.000000000000007</c:v>
                </c:pt>
                <c:pt idx="5">
                  <c:v>66.25</c:v>
                </c:pt>
                <c:pt idx="6">
                  <c:v>77.5</c:v>
                </c:pt>
                <c:pt idx="7">
                  <c:v>88.75</c:v>
                </c:pt>
                <c:pt idx="8">
                  <c:v>100</c:v>
                </c:pt>
              </c:numCache>
            </c:numRef>
          </c:xVal>
          <c:yVal>
            <c:numRef>
              <c:f>'LMV52 O2 Trim Mesh Burner'!$H$37:$H$45</c:f>
              <c:numCache>
                <c:formatCode>0.0</c:formatCode>
                <c:ptCount val="9"/>
              </c:numCache>
            </c:numRef>
          </c:yVal>
          <c:smooth val="0"/>
        </c:ser>
        <c:ser>
          <c:idx val="3"/>
          <c:order val="2"/>
          <c:tx>
            <c:v>O2 MaxValue</c:v>
          </c:tx>
          <c:spPr>
            <a:ln w="19050">
              <a:solidFill>
                <a:srgbClr val="7030A0"/>
              </a:solidFill>
            </a:ln>
          </c:spPr>
          <c:marker>
            <c:spPr>
              <a:solidFill>
                <a:srgbClr val="7030A0"/>
              </a:solidFill>
              <a:ln>
                <a:solidFill>
                  <a:srgbClr val="7030A0"/>
                </a:solidFill>
              </a:ln>
            </c:spPr>
          </c:marker>
          <c:xVal>
            <c:numRef>
              <c:f>'LMV52 O2 Trim Mesh Burner'!$C$36:$C$45</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Burner'!$F$36:$F$45</c:f>
              <c:numCache>
                <c:formatCode>0.0</c:formatCode>
                <c:ptCount val="10"/>
              </c:numCache>
            </c:numRef>
          </c:yVal>
          <c:smooth val="0"/>
        </c:ser>
        <c:ser>
          <c:idx val="2"/>
          <c:order val="3"/>
          <c:tx>
            <c:v>O2 Alarm R</c:v>
          </c:tx>
          <c:spPr>
            <a:ln w="19050">
              <a:solidFill>
                <a:srgbClr val="FF0000"/>
              </a:solidFill>
            </a:ln>
          </c:spPr>
          <c:marker>
            <c:spPr>
              <a:solidFill>
                <a:srgbClr val="FF0000"/>
              </a:solidFill>
              <a:ln>
                <a:solidFill>
                  <a:srgbClr val="FF0000"/>
                </a:solidFill>
              </a:ln>
            </c:spPr>
          </c:marker>
          <c:xVal>
            <c:numRef>
              <c:f>'LMV52 O2 Trim Mesh Burner'!$C$36:$C$45</c:f>
              <c:numCache>
                <c:formatCode>0.0</c:formatCode>
                <c:ptCount val="10"/>
                <c:pt idx="0">
                  <c:v>5</c:v>
                </c:pt>
                <c:pt idx="1">
                  <c:v>10</c:v>
                </c:pt>
                <c:pt idx="2">
                  <c:v>21.25</c:v>
                </c:pt>
                <c:pt idx="3">
                  <c:v>32.5</c:v>
                </c:pt>
                <c:pt idx="4">
                  <c:v>43.75</c:v>
                </c:pt>
                <c:pt idx="5">
                  <c:v>55.000000000000007</c:v>
                </c:pt>
                <c:pt idx="6">
                  <c:v>66.25</c:v>
                </c:pt>
                <c:pt idx="7">
                  <c:v>77.5</c:v>
                </c:pt>
                <c:pt idx="8">
                  <c:v>88.75</c:v>
                </c:pt>
                <c:pt idx="9">
                  <c:v>100</c:v>
                </c:pt>
              </c:numCache>
            </c:numRef>
          </c:xVal>
          <c:yVal>
            <c:numRef>
              <c:f>'LMV52 O2 Trim Mesh Burner'!$E$36:$E$45</c:f>
              <c:numCache>
                <c:formatCode>0.0</c:formatCode>
                <c:ptCount val="10"/>
              </c:numCache>
            </c:numRef>
          </c:yVal>
          <c:smooth val="0"/>
        </c:ser>
        <c:dLbls>
          <c:showLegendKey val="0"/>
          <c:showVal val="0"/>
          <c:showCatName val="0"/>
          <c:showSerName val="0"/>
          <c:showPercent val="0"/>
          <c:showBubbleSize val="0"/>
        </c:dLbls>
        <c:axId val="175900928"/>
        <c:axId val="175923584"/>
      </c:scatterChart>
      <c:valAx>
        <c:axId val="175900928"/>
        <c:scaling>
          <c:orientation val="minMax"/>
          <c:max val="100.1"/>
          <c:min val="0"/>
        </c:scaling>
        <c:delete val="0"/>
        <c:axPos val="b"/>
        <c:title>
          <c:tx>
            <c:rich>
              <a:bodyPr/>
              <a:lstStyle/>
              <a:p>
                <a:pPr>
                  <a:defRPr/>
                </a:pPr>
                <a:r>
                  <a:rPr lang="en-US"/>
                  <a:t>%</a:t>
                </a:r>
                <a:r>
                  <a:rPr lang="en-US" baseline="0"/>
                  <a:t> Load</a:t>
                </a:r>
                <a:endParaRPr lang="en-US"/>
              </a:p>
            </c:rich>
          </c:tx>
          <c:layout/>
          <c:overlay val="0"/>
        </c:title>
        <c:numFmt formatCode="0" sourceLinked="0"/>
        <c:majorTickMark val="out"/>
        <c:minorTickMark val="out"/>
        <c:tickLblPos val="nextTo"/>
        <c:crossAx val="175923584"/>
        <c:crosses val="autoZero"/>
        <c:crossBetween val="midCat"/>
        <c:majorUnit val="10"/>
        <c:minorUnit val="5"/>
      </c:valAx>
      <c:valAx>
        <c:axId val="175923584"/>
        <c:scaling>
          <c:orientation val="minMax"/>
        </c:scaling>
        <c:delete val="0"/>
        <c:axPos val="l"/>
        <c:majorGridlines/>
        <c:title>
          <c:tx>
            <c:rich>
              <a:bodyPr/>
              <a:lstStyle/>
              <a:p>
                <a:pPr>
                  <a:defRPr/>
                </a:pPr>
                <a:r>
                  <a:rPr lang="en-US"/>
                  <a:t>%</a:t>
                </a:r>
                <a:r>
                  <a:rPr lang="en-US" baseline="0"/>
                  <a:t> O2 Wet</a:t>
                </a:r>
                <a:endParaRPr lang="en-US"/>
              </a:p>
            </c:rich>
          </c:tx>
          <c:layout/>
          <c:overlay val="0"/>
        </c:title>
        <c:numFmt formatCode="0.0" sourceLinked="1"/>
        <c:majorTickMark val="none"/>
        <c:minorTickMark val="out"/>
        <c:tickLblPos val="nextTo"/>
        <c:crossAx val="175900928"/>
        <c:crosses val="autoZero"/>
        <c:crossBetween val="midCat"/>
        <c:majorUnit val="1"/>
        <c:minorUnit val="0.5"/>
      </c:valAx>
    </c:plotArea>
    <c:legend>
      <c:legendPos val="r"/>
      <c:layout>
        <c:manualLayout>
          <c:xMode val="edge"/>
          <c:yMode val="edge"/>
          <c:x val="0.81639925762418852"/>
          <c:y val="1.4559565324875453E-2"/>
          <c:w val="0.17662724167847221"/>
          <c:h val="0.24158868918940393"/>
        </c:manualLayout>
      </c:layout>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40640</xdr:colOff>
      <xdr:row>11</xdr:row>
      <xdr:rowOff>12700</xdr:rowOff>
    </xdr:from>
    <xdr:to>
      <xdr:col>24</xdr:col>
      <xdr:colOff>477520</xdr:colOff>
      <xdr:row>32</xdr:row>
      <xdr:rowOff>132080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213360</xdr:colOff>
      <xdr:row>12</xdr:row>
      <xdr:rowOff>22860</xdr:rowOff>
    </xdr:from>
    <xdr:to>
      <xdr:col>24</xdr:col>
      <xdr:colOff>0</xdr:colOff>
      <xdr:row>27</xdr:row>
      <xdr:rowOff>50800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172720</xdr:colOff>
      <xdr:row>46</xdr:row>
      <xdr:rowOff>190500</xdr:rowOff>
    </xdr:from>
    <xdr:to>
      <xdr:col>15</xdr:col>
      <xdr:colOff>680720</xdr:colOff>
      <xdr:row>63</xdr:row>
      <xdr:rowOff>144780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182880</xdr:colOff>
      <xdr:row>12</xdr:row>
      <xdr:rowOff>175260</xdr:rowOff>
    </xdr:from>
    <xdr:to>
      <xdr:col>26</xdr:col>
      <xdr:colOff>144780</xdr:colOff>
      <xdr:row>27</xdr:row>
      <xdr:rowOff>160020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193040</xdr:colOff>
      <xdr:row>29</xdr:row>
      <xdr:rowOff>55880</xdr:rowOff>
    </xdr:from>
    <xdr:to>
      <xdr:col>26</xdr:col>
      <xdr:colOff>284480</xdr:colOff>
      <xdr:row>43</xdr:row>
      <xdr:rowOff>162560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91440</xdr:colOff>
      <xdr:row>47</xdr:row>
      <xdr:rowOff>7620</xdr:rowOff>
    </xdr:from>
    <xdr:to>
      <xdr:col>15</xdr:col>
      <xdr:colOff>599440</xdr:colOff>
      <xdr:row>63</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182880</xdr:colOff>
      <xdr:row>13</xdr:row>
      <xdr:rowOff>175260</xdr:rowOff>
    </xdr:from>
    <xdr:to>
      <xdr:col>26</xdr:col>
      <xdr:colOff>144780</xdr:colOff>
      <xdr:row>28</xdr:row>
      <xdr:rowOff>160020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91440</xdr:colOff>
      <xdr:row>30</xdr:row>
      <xdr:rowOff>25400</xdr:rowOff>
    </xdr:from>
    <xdr:to>
      <xdr:col>26</xdr:col>
      <xdr:colOff>182880</xdr:colOff>
      <xdr:row>44</xdr:row>
      <xdr:rowOff>132080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21</xdr:row>
          <xdr:rowOff>28575</xdr:rowOff>
        </xdr:from>
        <xdr:to>
          <xdr:col>8</xdr:col>
          <xdr:colOff>809625</xdr:colOff>
          <xdr:row>26</xdr:row>
          <xdr:rowOff>47625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workbookViewId="0">
      <selection activeCell="O35" sqref="O35"/>
    </sheetView>
  </sheetViews>
  <sheetFormatPr defaultRowHeight="15" x14ac:dyDescent="0.25"/>
  <sheetData>
    <row r="1" spans="1:13" ht="15.75" thickBot="1" x14ac:dyDescent="0.3"/>
    <row r="2" spans="1:13" ht="15.75" thickBot="1" x14ac:dyDescent="0.3">
      <c r="A2" s="89" t="s">
        <v>96</v>
      </c>
      <c r="B2" s="90"/>
      <c r="C2" s="90"/>
      <c r="D2" s="90"/>
      <c r="E2" s="90"/>
      <c r="F2" s="90"/>
      <c r="G2" s="90"/>
      <c r="H2" s="90"/>
      <c r="I2" s="90"/>
      <c r="J2" s="90"/>
      <c r="K2" s="90"/>
      <c r="L2" s="90"/>
      <c r="M2" s="91"/>
    </row>
    <row r="3" spans="1:13" x14ac:dyDescent="0.25">
      <c r="A3" s="62" t="s">
        <v>117</v>
      </c>
      <c r="B3" s="63"/>
      <c r="C3" s="63"/>
      <c r="D3" s="63"/>
      <c r="E3" s="63"/>
      <c r="F3" s="63"/>
      <c r="G3" s="63"/>
      <c r="H3" s="63"/>
      <c r="I3" s="63"/>
      <c r="J3" s="63"/>
      <c r="K3" s="63"/>
      <c r="L3" s="63"/>
      <c r="M3" s="64"/>
    </row>
    <row r="4" spans="1:13" x14ac:dyDescent="0.25">
      <c r="A4" s="62"/>
      <c r="B4" s="63"/>
      <c r="C4" s="63"/>
      <c r="D4" s="63"/>
      <c r="E4" s="63"/>
      <c r="F4" s="63"/>
      <c r="G4" s="63"/>
      <c r="H4" s="63"/>
      <c r="I4" s="63"/>
      <c r="J4" s="63"/>
      <c r="K4" s="63"/>
      <c r="L4" s="63"/>
      <c r="M4" s="64"/>
    </row>
    <row r="5" spans="1:13" x14ac:dyDescent="0.25">
      <c r="A5" s="62" t="s">
        <v>118</v>
      </c>
      <c r="B5" s="63"/>
      <c r="C5" s="63"/>
      <c r="D5" s="63"/>
      <c r="E5" s="63"/>
      <c r="F5" s="63"/>
      <c r="G5" s="63"/>
      <c r="H5" s="63"/>
      <c r="I5" s="63"/>
      <c r="J5" s="63"/>
      <c r="K5" s="63"/>
      <c r="L5" s="63"/>
      <c r="M5" s="64"/>
    </row>
    <row r="6" spans="1:13" x14ac:dyDescent="0.25">
      <c r="A6" s="62"/>
      <c r="B6" s="63"/>
      <c r="C6" s="63"/>
      <c r="D6" s="63"/>
      <c r="E6" s="63"/>
      <c r="F6" s="63"/>
      <c r="G6" s="63"/>
      <c r="H6" s="63"/>
      <c r="I6" s="63"/>
      <c r="J6" s="63"/>
      <c r="K6" s="63"/>
      <c r="L6" s="63"/>
      <c r="M6" s="64"/>
    </row>
    <row r="7" spans="1:13" x14ac:dyDescent="0.25">
      <c r="A7" s="68" t="s">
        <v>101</v>
      </c>
      <c r="B7" s="69"/>
      <c r="C7" s="69"/>
      <c r="D7" s="69"/>
      <c r="E7" s="69"/>
      <c r="F7" s="69"/>
      <c r="G7" s="69"/>
      <c r="H7" s="69"/>
      <c r="I7" s="69"/>
      <c r="J7" s="69"/>
      <c r="K7" s="69"/>
      <c r="L7" s="69"/>
      <c r="M7" s="70"/>
    </row>
    <row r="8" spans="1:13" x14ac:dyDescent="0.25">
      <c r="A8" s="71"/>
      <c r="B8" s="72"/>
      <c r="C8" s="72"/>
      <c r="D8" s="72"/>
      <c r="E8" s="72"/>
      <c r="F8" s="72"/>
      <c r="G8" s="72"/>
      <c r="H8" s="72"/>
      <c r="I8" s="72"/>
      <c r="J8" s="72"/>
      <c r="K8" s="72"/>
      <c r="L8" s="72"/>
      <c r="M8" s="73"/>
    </row>
    <row r="9" spans="1:13" x14ac:dyDescent="0.25">
      <c r="A9" s="71"/>
      <c r="B9" s="72"/>
      <c r="C9" s="72"/>
      <c r="D9" s="72"/>
      <c r="E9" s="72"/>
      <c r="F9" s="72"/>
      <c r="G9" s="72"/>
      <c r="H9" s="72"/>
      <c r="I9" s="72"/>
      <c r="J9" s="72"/>
      <c r="K9" s="72"/>
      <c r="L9" s="72"/>
      <c r="M9" s="73"/>
    </row>
    <row r="10" spans="1:13" x14ac:dyDescent="0.25">
      <c r="A10" s="74"/>
      <c r="B10" s="75"/>
      <c r="C10" s="75"/>
      <c r="D10" s="75"/>
      <c r="E10" s="75"/>
      <c r="F10" s="75"/>
      <c r="G10" s="75"/>
      <c r="H10" s="75"/>
      <c r="I10" s="75"/>
      <c r="J10" s="75"/>
      <c r="K10" s="75"/>
      <c r="L10" s="75"/>
      <c r="M10" s="76"/>
    </row>
    <row r="11" spans="1:13" x14ac:dyDescent="0.25">
      <c r="A11" s="59" t="s">
        <v>119</v>
      </c>
      <c r="B11" s="60"/>
      <c r="C11" s="60"/>
      <c r="D11" s="60"/>
      <c r="E11" s="60"/>
      <c r="F11" s="60"/>
      <c r="G11" s="60"/>
      <c r="H11" s="60"/>
      <c r="I11" s="60"/>
      <c r="J11" s="60"/>
      <c r="K11" s="60"/>
      <c r="L11" s="60"/>
      <c r="M11" s="61"/>
    </row>
    <row r="12" spans="1:13" x14ac:dyDescent="0.25">
      <c r="A12" s="59"/>
      <c r="B12" s="60"/>
      <c r="C12" s="60"/>
      <c r="D12" s="60"/>
      <c r="E12" s="60"/>
      <c r="F12" s="60"/>
      <c r="G12" s="60"/>
      <c r="H12" s="60"/>
      <c r="I12" s="60"/>
      <c r="J12" s="60"/>
      <c r="K12" s="60"/>
      <c r="L12" s="60"/>
      <c r="M12" s="61"/>
    </row>
    <row r="13" spans="1:13" x14ac:dyDescent="0.25">
      <c r="A13" s="59"/>
      <c r="B13" s="60"/>
      <c r="C13" s="60"/>
      <c r="D13" s="60"/>
      <c r="E13" s="60"/>
      <c r="F13" s="60"/>
      <c r="G13" s="60"/>
      <c r="H13" s="60"/>
      <c r="I13" s="60"/>
      <c r="J13" s="60"/>
      <c r="K13" s="60"/>
      <c r="L13" s="60"/>
      <c r="M13" s="61"/>
    </row>
    <row r="14" spans="1:13" x14ac:dyDescent="0.25">
      <c r="A14" s="86"/>
      <c r="B14" s="87"/>
      <c r="C14" s="87"/>
      <c r="D14" s="87"/>
      <c r="E14" s="87"/>
      <c r="F14" s="87"/>
      <c r="G14" s="87"/>
      <c r="H14" s="87"/>
      <c r="I14" s="87"/>
      <c r="J14" s="87"/>
      <c r="K14" s="87"/>
      <c r="L14" s="87"/>
      <c r="M14" s="88"/>
    </row>
    <row r="15" spans="1:13" x14ac:dyDescent="0.25">
      <c r="A15" s="59" t="s">
        <v>120</v>
      </c>
      <c r="B15" s="60"/>
      <c r="C15" s="60"/>
      <c r="D15" s="60"/>
      <c r="E15" s="60"/>
      <c r="F15" s="60"/>
      <c r="G15" s="60"/>
      <c r="H15" s="60"/>
      <c r="I15" s="60"/>
      <c r="J15" s="60"/>
      <c r="K15" s="60"/>
      <c r="L15" s="60"/>
      <c r="M15" s="61"/>
    </row>
    <row r="16" spans="1:13" x14ac:dyDescent="0.25">
      <c r="A16" s="59"/>
      <c r="B16" s="60"/>
      <c r="C16" s="60"/>
      <c r="D16" s="60"/>
      <c r="E16" s="60"/>
      <c r="F16" s="60"/>
      <c r="G16" s="60"/>
      <c r="H16" s="60"/>
      <c r="I16" s="60"/>
      <c r="J16" s="60"/>
      <c r="K16" s="60"/>
      <c r="L16" s="60"/>
      <c r="M16" s="61"/>
    </row>
    <row r="17" spans="1:13" x14ac:dyDescent="0.25">
      <c r="A17" s="59" t="s">
        <v>121</v>
      </c>
      <c r="B17" s="60"/>
      <c r="C17" s="60"/>
      <c r="D17" s="60"/>
      <c r="E17" s="60"/>
      <c r="F17" s="60"/>
      <c r="G17" s="60"/>
      <c r="H17" s="60"/>
      <c r="I17" s="60"/>
      <c r="J17" s="60"/>
      <c r="K17" s="60"/>
      <c r="L17" s="60"/>
      <c r="M17" s="61"/>
    </row>
    <row r="18" spans="1:13" x14ac:dyDescent="0.25">
      <c r="A18" s="59"/>
      <c r="B18" s="60"/>
      <c r="C18" s="60"/>
      <c r="D18" s="60"/>
      <c r="E18" s="60"/>
      <c r="F18" s="60"/>
      <c r="G18" s="60"/>
      <c r="H18" s="60"/>
      <c r="I18" s="60"/>
      <c r="J18" s="60"/>
      <c r="K18" s="60"/>
      <c r="L18" s="60"/>
      <c r="M18" s="61"/>
    </row>
    <row r="19" spans="1:13" x14ac:dyDescent="0.25">
      <c r="A19" s="59" t="s">
        <v>122</v>
      </c>
      <c r="B19" s="60"/>
      <c r="C19" s="60"/>
      <c r="D19" s="60"/>
      <c r="E19" s="60"/>
      <c r="F19" s="60"/>
      <c r="G19" s="60"/>
      <c r="H19" s="60"/>
      <c r="I19" s="60"/>
      <c r="J19" s="60"/>
      <c r="K19" s="60"/>
      <c r="L19" s="60"/>
      <c r="M19" s="61"/>
    </row>
    <row r="20" spans="1:13" x14ac:dyDescent="0.25">
      <c r="A20" s="59"/>
      <c r="B20" s="60"/>
      <c r="C20" s="60"/>
      <c r="D20" s="60"/>
      <c r="E20" s="60"/>
      <c r="F20" s="60"/>
      <c r="G20" s="60"/>
      <c r="H20" s="60"/>
      <c r="I20" s="60"/>
      <c r="J20" s="60"/>
      <c r="K20" s="60"/>
      <c r="L20" s="60"/>
      <c r="M20" s="61"/>
    </row>
    <row r="21" spans="1:13" x14ac:dyDescent="0.25">
      <c r="A21" s="59"/>
      <c r="B21" s="60"/>
      <c r="C21" s="60"/>
      <c r="D21" s="60"/>
      <c r="E21" s="60"/>
      <c r="F21" s="60"/>
      <c r="G21" s="60"/>
      <c r="H21" s="60"/>
      <c r="I21" s="60"/>
      <c r="J21" s="60"/>
      <c r="K21" s="60"/>
      <c r="L21" s="60"/>
      <c r="M21" s="61"/>
    </row>
    <row r="22" spans="1:13" x14ac:dyDescent="0.25">
      <c r="A22" s="59"/>
      <c r="B22" s="60"/>
      <c r="C22" s="60"/>
      <c r="D22" s="60"/>
      <c r="E22" s="60"/>
      <c r="F22" s="60"/>
      <c r="G22" s="60"/>
      <c r="H22" s="60"/>
      <c r="I22" s="60"/>
      <c r="J22" s="60"/>
      <c r="K22" s="60"/>
      <c r="L22" s="60"/>
      <c r="M22" s="61"/>
    </row>
    <row r="23" spans="1:13" ht="15.75" thickBot="1" x14ac:dyDescent="0.3">
      <c r="A23" s="77"/>
      <c r="B23" s="78"/>
      <c r="C23" s="78"/>
      <c r="D23" s="78"/>
      <c r="E23" s="78"/>
      <c r="F23" s="78"/>
      <c r="G23" s="78"/>
      <c r="H23" s="78"/>
      <c r="I23" s="78"/>
      <c r="J23" s="78"/>
      <c r="K23" s="78"/>
      <c r="L23" s="78"/>
      <c r="M23" s="79"/>
    </row>
    <row r="24" spans="1:13" ht="15.75" thickBot="1" x14ac:dyDescent="0.3"/>
    <row r="25" spans="1:13" ht="15.75" thickBot="1" x14ac:dyDescent="0.3">
      <c r="A25" s="80" t="s">
        <v>95</v>
      </c>
      <c r="B25" s="81"/>
      <c r="C25" s="81"/>
      <c r="D25" s="81"/>
      <c r="E25" s="81"/>
      <c r="F25" s="81"/>
      <c r="G25" s="81"/>
      <c r="H25" s="81"/>
      <c r="I25" s="81"/>
      <c r="J25" s="81"/>
      <c r="K25" s="81"/>
      <c r="L25" s="81"/>
      <c r="M25" s="82"/>
    </row>
    <row r="26" spans="1:13" x14ac:dyDescent="0.25">
      <c r="A26" s="83" t="s">
        <v>123</v>
      </c>
      <c r="B26" s="84"/>
      <c r="C26" s="84"/>
      <c r="D26" s="84"/>
      <c r="E26" s="84"/>
      <c r="F26" s="84"/>
      <c r="G26" s="84"/>
      <c r="H26" s="84"/>
      <c r="I26" s="84"/>
      <c r="J26" s="84"/>
      <c r="K26" s="84"/>
      <c r="L26" s="84"/>
      <c r="M26" s="85"/>
    </row>
    <row r="27" spans="1:13" x14ac:dyDescent="0.25">
      <c r="A27" s="62"/>
      <c r="B27" s="63"/>
      <c r="C27" s="63"/>
      <c r="D27" s="63"/>
      <c r="E27" s="63"/>
      <c r="F27" s="63"/>
      <c r="G27" s="63"/>
      <c r="H27" s="63"/>
      <c r="I27" s="63"/>
      <c r="J27" s="63"/>
      <c r="K27" s="63"/>
      <c r="L27" s="63"/>
      <c r="M27" s="64"/>
    </row>
    <row r="28" spans="1:13" x14ac:dyDescent="0.25">
      <c r="A28" s="62" t="s">
        <v>124</v>
      </c>
      <c r="B28" s="63"/>
      <c r="C28" s="63"/>
      <c r="D28" s="63"/>
      <c r="E28" s="63"/>
      <c r="F28" s="63"/>
      <c r="G28" s="63"/>
      <c r="H28" s="63"/>
      <c r="I28" s="63"/>
      <c r="J28" s="63"/>
      <c r="K28" s="63"/>
      <c r="L28" s="63"/>
      <c r="M28" s="64"/>
    </row>
    <row r="29" spans="1:13" x14ac:dyDescent="0.25">
      <c r="A29" s="62"/>
      <c r="B29" s="63"/>
      <c r="C29" s="63"/>
      <c r="D29" s="63"/>
      <c r="E29" s="63"/>
      <c r="F29" s="63"/>
      <c r="G29" s="63"/>
      <c r="H29" s="63"/>
      <c r="I29" s="63"/>
      <c r="J29" s="63"/>
      <c r="K29" s="63"/>
      <c r="L29" s="63"/>
      <c r="M29" s="64"/>
    </row>
    <row r="30" spans="1:13" x14ac:dyDescent="0.25">
      <c r="A30" s="62"/>
      <c r="B30" s="63"/>
      <c r="C30" s="63"/>
      <c r="D30" s="63"/>
      <c r="E30" s="63"/>
      <c r="F30" s="63"/>
      <c r="G30" s="63"/>
      <c r="H30" s="63"/>
      <c r="I30" s="63"/>
      <c r="J30" s="63"/>
      <c r="K30" s="63"/>
      <c r="L30" s="63"/>
      <c r="M30" s="64"/>
    </row>
    <row r="31" spans="1:13" x14ac:dyDescent="0.25">
      <c r="A31" s="62"/>
      <c r="B31" s="63"/>
      <c r="C31" s="63"/>
      <c r="D31" s="63"/>
      <c r="E31" s="63"/>
      <c r="F31" s="63"/>
      <c r="G31" s="63"/>
      <c r="H31" s="63"/>
      <c r="I31" s="63"/>
      <c r="J31" s="63"/>
      <c r="K31" s="63"/>
      <c r="L31" s="63"/>
      <c r="M31" s="64"/>
    </row>
    <row r="32" spans="1:13" x14ac:dyDescent="0.25">
      <c r="A32" s="62" t="s">
        <v>125</v>
      </c>
      <c r="B32" s="63"/>
      <c r="C32" s="63"/>
      <c r="D32" s="63"/>
      <c r="E32" s="63"/>
      <c r="F32" s="63"/>
      <c r="G32" s="63"/>
      <c r="H32" s="63"/>
      <c r="I32" s="63"/>
      <c r="J32" s="63"/>
      <c r="K32" s="63"/>
      <c r="L32" s="63"/>
      <c r="M32" s="64"/>
    </row>
    <row r="33" spans="1:13" x14ac:dyDescent="0.25">
      <c r="A33" s="62"/>
      <c r="B33" s="63"/>
      <c r="C33" s="63"/>
      <c r="D33" s="63"/>
      <c r="E33" s="63"/>
      <c r="F33" s="63"/>
      <c r="G33" s="63"/>
      <c r="H33" s="63"/>
      <c r="I33" s="63"/>
      <c r="J33" s="63"/>
      <c r="K33" s="63"/>
      <c r="L33" s="63"/>
      <c r="M33" s="64"/>
    </row>
    <row r="34" spans="1:13" x14ac:dyDescent="0.25">
      <c r="A34" s="62"/>
      <c r="B34" s="63"/>
      <c r="C34" s="63"/>
      <c r="D34" s="63"/>
      <c r="E34" s="63"/>
      <c r="F34" s="63"/>
      <c r="G34" s="63"/>
      <c r="H34" s="63"/>
      <c r="I34" s="63"/>
      <c r="J34" s="63"/>
      <c r="K34" s="63"/>
      <c r="L34" s="63"/>
      <c r="M34" s="64"/>
    </row>
    <row r="35" spans="1:13" x14ac:dyDescent="0.25">
      <c r="A35" s="62"/>
      <c r="B35" s="63"/>
      <c r="C35" s="63"/>
      <c r="D35" s="63"/>
      <c r="E35" s="63"/>
      <c r="F35" s="63"/>
      <c r="G35" s="63"/>
      <c r="H35" s="63"/>
      <c r="I35" s="63"/>
      <c r="J35" s="63"/>
      <c r="K35" s="63"/>
      <c r="L35" s="63"/>
      <c r="M35" s="64"/>
    </row>
    <row r="36" spans="1:13" x14ac:dyDescent="0.25">
      <c r="A36" s="62"/>
      <c r="B36" s="63"/>
      <c r="C36" s="63"/>
      <c r="D36" s="63"/>
      <c r="E36" s="63"/>
      <c r="F36" s="63"/>
      <c r="G36" s="63"/>
      <c r="H36" s="63"/>
      <c r="I36" s="63"/>
      <c r="J36" s="63"/>
      <c r="K36" s="63"/>
      <c r="L36" s="63"/>
      <c r="M36" s="64"/>
    </row>
    <row r="37" spans="1:13" x14ac:dyDescent="0.25">
      <c r="A37" s="59" t="s">
        <v>126</v>
      </c>
      <c r="B37" s="60"/>
      <c r="C37" s="60"/>
      <c r="D37" s="60"/>
      <c r="E37" s="60"/>
      <c r="F37" s="60"/>
      <c r="G37" s="60"/>
      <c r="H37" s="60"/>
      <c r="I37" s="60"/>
      <c r="J37" s="60"/>
      <c r="K37" s="60"/>
      <c r="L37" s="60"/>
      <c r="M37" s="61"/>
    </row>
    <row r="38" spans="1:13" x14ac:dyDescent="0.25">
      <c r="A38" s="59"/>
      <c r="B38" s="60"/>
      <c r="C38" s="60"/>
      <c r="D38" s="60"/>
      <c r="E38" s="60"/>
      <c r="F38" s="60"/>
      <c r="G38" s="60"/>
      <c r="H38" s="60"/>
      <c r="I38" s="60"/>
      <c r="J38" s="60"/>
      <c r="K38" s="60"/>
      <c r="L38" s="60"/>
      <c r="M38" s="61"/>
    </row>
    <row r="39" spans="1:13" x14ac:dyDescent="0.25">
      <c r="A39" s="59"/>
      <c r="B39" s="60"/>
      <c r="C39" s="60"/>
      <c r="D39" s="60"/>
      <c r="E39" s="60"/>
      <c r="F39" s="60"/>
      <c r="G39" s="60"/>
      <c r="H39" s="60"/>
      <c r="I39" s="60"/>
      <c r="J39" s="60"/>
      <c r="K39" s="60"/>
      <c r="L39" s="60"/>
      <c r="M39" s="61"/>
    </row>
    <row r="40" spans="1:13" x14ac:dyDescent="0.25">
      <c r="A40" s="86"/>
      <c r="B40" s="87"/>
      <c r="C40" s="87"/>
      <c r="D40" s="87"/>
      <c r="E40" s="87"/>
      <c r="F40" s="87"/>
      <c r="G40" s="87"/>
      <c r="H40" s="87"/>
      <c r="I40" s="87"/>
      <c r="J40" s="87"/>
      <c r="K40" s="87"/>
      <c r="L40" s="87"/>
      <c r="M40" s="88"/>
    </row>
    <row r="41" spans="1:13" x14ac:dyDescent="0.25">
      <c r="A41" s="86"/>
      <c r="B41" s="87"/>
      <c r="C41" s="87"/>
      <c r="D41" s="87"/>
      <c r="E41" s="87"/>
      <c r="F41" s="87"/>
      <c r="G41" s="87"/>
      <c r="H41" s="87"/>
      <c r="I41" s="87"/>
      <c r="J41" s="87"/>
      <c r="K41" s="87"/>
      <c r="L41" s="87"/>
      <c r="M41" s="88"/>
    </row>
    <row r="42" spans="1:13" x14ac:dyDescent="0.25">
      <c r="A42" s="86"/>
      <c r="B42" s="87"/>
      <c r="C42" s="87"/>
      <c r="D42" s="87"/>
      <c r="E42" s="87"/>
      <c r="F42" s="87"/>
      <c r="G42" s="87"/>
      <c r="H42" s="87"/>
      <c r="I42" s="87"/>
      <c r="J42" s="87"/>
      <c r="K42" s="87"/>
      <c r="L42" s="87"/>
      <c r="M42" s="88"/>
    </row>
    <row r="43" spans="1:13" x14ac:dyDescent="0.25">
      <c r="A43" s="59" t="s">
        <v>128</v>
      </c>
      <c r="B43" s="60"/>
      <c r="C43" s="60"/>
      <c r="D43" s="60"/>
      <c r="E43" s="60"/>
      <c r="F43" s="60"/>
      <c r="G43" s="60"/>
      <c r="H43" s="60"/>
      <c r="I43" s="60"/>
      <c r="J43" s="60"/>
      <c r="K43" s="60"/>
      <c r="L43" s="60"/>
      <c r="M43" s="61"/>
    </row>
    <row r="44" spans="1:13" x14ac:dyDescent="0.25">
      <c r="A44" s="59"/>
      <c r="B44" s="60"/>
      <c r="C44" s="60"/>
      <c r="D44" s="60"/>
      <c r="E44" s="60"/>
      <c r="F44" s="60"/>
      <c r="G44" s="60"/>
      <c r="H44" s="60"/>
      <c r="I44" s="60"/>
      <c r="J44" s="60"/>
      <c r="K44" s="60"/>
      <c r="L44" s="60"/>
      <c r="M44" s="61"/>
    </row>
    <row r="45" spans="1:13" x14ac:dyDescent="0.25">
      <c r="A45" s="59"/>
      <c r="B45" s="60"/>
      <c r="C45" s="60"/>
      <c r="D45" s="60"/>
      <c r="E45" s="60"/>
      <c r="F45" s="60"/>
      <c r="G45" s="60"/>
      <c r="H45" s="60"/>
      <c r="I45" s="60"/>
      <c r="J45" s="60"/>
      <c r="K45" s="60"/>
      <c r="L45" s="60"/>
      <c r="M45" s="61"/>
    </row>
    <row r="46" spans="1:13" x14ac:dyDescent="0.25">
      <c r="A46" s="62" t="s">
        <v>127</v>
      </c>
      <c r="B46" s="63"/>
      <c r="C46" s="63"/>
      <c r="D46" s="63"/>
      <c r="E46" s="63"/>
      <c r="F46" s="63"/>
      <c r="G46" s="63"/>
      <c r="H46" s="63"/>
      <c r="I46" s="63"/>
      <c r="J46" s="63"/>
      <c r="K46" s="63"/>
      <c r="L46" s="63"/>
      <c r="M46" s="64"/>
    </row>
    <row r="47" spans="1:13" ht="15.75" thickBot="1" x14ac:dyDescent="0.3">
      <c r="A47" s="65"/>
      <c r="B47" s="66"/>
      <c r="C47" s="66"/>
      <c r="D47" s="66"/>
      <c r="E47" s="66"/>
      <c r="F47" s="66"/>
      <c r="G47" s="66"/>
      <c r="H47" s="66"/>
      <c r="I47" s="66"/>
      <c r="J47" s="66"/>
      <c r="K47" s="66"/>
      <c r="L47" s="66"/>
      <c r="M47" s="67"/>
    </row>
  </sheetData>
  <mergeCells count="15">
    <mergeCell ref="A2:M2"/>
    <mergeCell ref="A3:M4"/>
    <mergeCell ref="A5:M6"/>
    <mergeCell ref="A11:M14"/>
    <mergeCell ref="A15:M16"/>
    <mergeCell ref="A17:M18"/>
    <mergeCell ref="A43:M45"/>
    <mergeCell ref="A46:M47"/>
    <mergeCell ref="A7:M10"/>
    <mergeCell ref="A28:M31"/>
    <mergeCell ref="A32:M36"/>
    <mergeCell ref="A19:M23"/>
    <mergeCell ref="A25:M25"/>
    <mergeCell ref="A26:M27"/>
    <mergeCell ref="A37:M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7"/>
  <sheetViews>
    <sheetView zoomScale="75" zoomScaleNormal="75" workbookViewId="0">
      <selection activeCell="Q6" sqref="Q6:V6"/>
    </sheetView>
  </sheetViews>
  <sheetFormatPr defaultColWidth="8.85546875" defaultRowHeight="15" x14ac:dyDescent="0.25"/>
  <cols>
    <col min="1" max="1" width="7.28515625" style="1" customWidth="1"/>
    <col min="2" max="2" width="6.28515625" style="1" bestFit="1" customWidth="1"/>
    <col min="3" max="3" width="12.28515625" style="1" bestFit="1" customWidth="1"/>
    <col min="4" max="4" width="10.28515625" style="1" customWidth="1"/>
    <col min="5" max="5" width="8.5703125" style="1" customWidth="1"/>
    <col min="6" max="6" width="8.85546875" style="1" customWidth="1"/>
    <col min="7" max="7" width="9.5703125" style="1" customWidth="1"/>
    <col min="8" max="8" width="11.42578125" style="1" customWidth="1"/>
    <col min="9" max="9" width="16.42578125" style="1" customWidth="1"/>
    <col min="10" max="10" width="15.42578125" style="1" customWidth="1"/>
    <col min="11" max="11" width="14.28515625" style="1" customWidth="1"/>
    <col min="12" max="12" width="8.28515625" style="1" bestFit="1" customWidth="1"/>
    <col min="13" max="13" width="7.7109375" style="1" bestFit="1" customWidth="1"/>
    <col min="14" max="14" width="8.28515625" style="1" bestFit="1" customWidth="1"/>
    <col min="15" max="15" width="13.28515625" style="1" customWidth="1"/>
    <col min="16" max="16" width="8.85546875" style="31"/>
    <col min="17" max="16384" width="8.85546875" style="1"/>
  </cols>
  <sheetData>
    <row r="2" spans="1:25" x14ac:dyDescent="0.25">
      <c r="C2" s="3"/>
      <c r="D2" s="87" t="s">
        <v>88</v>
      </c>
      <c r="E2" s="99"/>
      <c r="F2" s="99"/>
      <c r="G2" s="99"/>
      <c r="H2" s="99"/>
      <c r="I2" s="99"/>
      <c r="J2" s="99"/>
      <c r="K2" s="87"/>
      <c r="L2" s="87"/>
    </row>
    <row r="3" spans="1:25" x14ac:dyDescent="0.25">
      <c r="C3" s="2"/>
      <c r="D3" s="87" t="s">
        <v>129</v>
      </c>
      <c r="E3" s="99"/>
      <c r="F3" s="99"/>
      <c r="G3" s="99"/>
      <c r="H3" s="99"/>
      <c r="I3" s="99"/>
      <c r="J3" s="99"/>
      <c r="K3" s="87"/>
      <c r="L3" s="87"/>
    </row>
    <row r="5" spans="1:25" x14ac:dyDescent="0.25">
      <c r="A5" s="8"/>
      <c r="B5" s="97" t="s">
        <v>86</v>
      </c>
      <c r="C5" s="98"/>
      <c r="D5" s="98"/>
      <c r="E5" s="98"/>
      <c r="F5" s="98"/>
      <c r="G5" s="98"/>
      <c r="H5" s="98"/>
      <c r="I5" s="98"/>
      <c r="J5" s="87"/>
      <c r="K5" s="94" t="s">
        <v>0</v>
      </c>
      <c r="L5" s="94"/>
      <c r="M5" s="95" t="s">
        <v>1</v>
      </c>
      <c r="N5" s="95"/>
      <c r="O5" s="96"/>
      <c r="W5" s="26" t="s">
        <v>0</v>
      </c>
      <c r="X5" s="92" t="s">
        <v>1</v>
      </c>
      <c r="Y5" s="93"/>
    </row>
    <row r="6" spans="1:25" x14ac:dyDescent="0.25">
      <c r="A6" s="104" t="s">
        <v>57</v>
      </c>
      <c r="B6" s="98" t="s">
        <v>2</v>
      </c>
      <c r="C6" s="98"/>
      <c r="D6" s="98"/>
      <c r="E6" s="98"/>
      <c r="F6" s="98"/>
      <c r="G6" s="98"/>
      <c r="H6" s="98"/>
      <c r="I6" s="98"/>
      <c r="J6" s="98"/>
      <c r="K6" s="94" t="s">
        <v>3</v>
      </c>
      <c r="L6" s="98"/>
      <c r="M6" s="102">
        <v>10</v>
      </c>
      <c r="N6" s="102"/>
      <c r="O6" s="103"/>
      <c r="P6" s="32"/>
      <c r="Q6" s="87" t="s">
        <v>132</v>
      </c>
      <c r="R6" s="87"/>
      <c r="S6" s="87"/>
      <c r="T6" s="87"/>
      <c r="U6" s="87"/>
      <c r="V6" s="87"/>
      <c r="W6" s="28" t="s">
        <v>76</v>
      </c>
      <c r="X6" s="100"/>
      <c r="Y6" s="101"/>
    </row>
    <row r="7" spans="1:25" x14ac:dyDescent="0.25">
      <c r="A7" s="104"/>
      <c r="B7" s="98" t="s">
        <v>130</v>
      </c>
      <c r="C7" s="98"/>
      <c r="D7" s="98"/>
      <c r="E7" s="98"/>
      <c r="F7" s="98"/>
      <c r="G7" s="98"/>
      <c r="H7" s="98"/>
      <c r="I7" s="98"/>
      <c r="J7" s="98"/>
      <c r="K7" s="94" t="s">
        <v>5</v>
      </c>
      <c r="L7" s="98"/>
      <c r="M7" s="102">
        <v>10</v>
      </c>
      <c r="N7" s="102"/>
      <c r="O7" s="103"/>
      <c r="P7" s="33"/>
      <c r="Q7" s="87" t="s">
        <v>69</v>
      </c>
      <c r="R7" s="87"/>
      <c r="S7" s="87"/>
      <c r="T7" s="87"/>
      <c r="U7" s="87"/>
      <c r="V7" s="87"/>
      <c r="W7" s="28" t="s">
        <v>5</v>
      </c>
      <c r="X7" s="100"/>
      <c r="Y7" s="101"/>
    </row>
    <row r="8" spans="1:25" x14ac:dyDescent="0.25">
      <c r="A8" s="104"/>
      <c r="B8" s="98" t="s">
        <v>6</v>
      </c>
      <c r="C8" s="98"/>
      <c r="D8" s="98"/>
      <c r="E8" s="98"/>
      <c r="F8" s="98"/>
      <c r="G8" s="98"/>
      <c r="H8" s="98"/>
      <c r="I8" s="98"/>
      <c r="J8" s="98"/>
      <c r="K8" s="94" t="s">
        <v>7</v>
      </c>
      <c r="L8" s="98"/>
      <c r="M8" s="102">
        <v>10</v>
      </c>
      <c r="N8" s="102"/>
      <c r="O8" s="103"/>
      <c r="P8" s="33"/>
      <c r="Q8" s="87" t="s">
        <v>70</v>
      </c>
      <c r="R8" s="87"/>
      <c r="S8" s="87"/>
      <c r="T8" s="87"/>
      <c r="U8" s="87"/>
      <c r="V8" s="87"/>
      <c r="W8" s="28" t="s">
        <v>5</v>
      </c>
      <c r="X8" s="100"/>
      <c r="Y8" s="101"/>
    </row>
    <row r="9" spans="1:25" x14ac:dyDescent="0.25">
      <c r="A9" s="104"/>
      <c r="B9" s="98" t="s">
        <v>46</v>
      </c>
      <c r="C9" s="98"/>
      <c r="D9" s="98"/>
      <c r="E9" s="98"/>
      <c r="F9" s="98"/>
      <c r="G9" s="98"/>
      <c r="H9" s="98"/>
      <c r="I9" s="98"/>
      <c r="J9" s="98"/>
      <c r="K9" s="94" t="s">
        <v>8</v>
      </c>
      <c r="L9" s="98"/>
      <c r="M9" s="102">
        <v>1000</v>
      </c>
      <c r="N9" s="102"/>
      <c r="O9" s="103"/>
      <c r="P9" s="33"/>
      <c r="Q9" s="87" t="s">
        <v>71</v>
      </c>
      <c r="R9" s="87"/>
      <c r="S9" s="87"/>
      <c r="T9" s="87"/>
      <c r="U9" s="87"/>
      <c r="V9" s="87"/>
      <c r="W9" s="28" t="s">
        <v>5</v>
      </c>
      <c r="X9" s="100"/>
      <c r="Y9" s="101"/>
    </row>
    <row r="10" spans="1:25" x14ac:dyDescent="0.25">
      <c r="A10" s="105"/>
      <c r="B10" s="98" t="s">
        <v>68</v>
      </c>
      <c r="C10" s="98"/>
      <c r="D10" s="98"/>
      <c r="E10" s="98"/>
      <c r="F10" s="98"/>
      <c r="G10" s="98"/>
      <c r="H10" s="98"/>
      <c r="I10" s="98"/>
      <c r="J10" s="98"/>
      <c r="K10" s="94" t="s">
        <v>9</v>
      </c>
      <c r="L10" s="98"/>
      <c r="M10" s="102">
        <v>85</v>
      </c>
      <c r="N10" s="102"/>
      <c r="O10" s="103"/>
      <c r="P10" s="33"/>
      <c r="Q10" s="87" t="s">
        <v>72</v>
      </c>
      <c r="R10" s="87"/>
      <c r="S10" s="87"/>
      <c r="T10" s="87"/>
      <c r="U10" s="87"/>
      <c r="V10" s="87"/>
      <c r="W10" s="28" t="s">
        <v>5</v>
      </c>
      <c r="X10" s="100"/>
      <c r="Y10" s="101"/>
    </row>
    <row r="11" spans="1:25" ht="40.9" customHeight="1" x14ac:dyDescent="0.25"/>
    <row r="12" spans="1:25" x14ac:dyDescent="0.25">
      <c r="A12" s="92" t="s">
        <v>131</v>
      </c>
      <c r="B12" s="92"/>
      <c r="C12" s="92"/>
      <c r="D12" s="92"/>
      <c r="E12" s="92"/>
      <c r="F12" s="92"/>
      <c r="G12" s="92"/>
      <c r="H12" s="92"/>
      <c r="I12" s="92"/>
      <c r="J12" s="92"/>
      <c r="K12" s="92"/>
      <c r="L12" s="40"/>
      <c r="M12" s="40"/>
      <c r="N12" s="40"/>
      <c r="O12" s="40"/>
    </row>
    <row r="13" spans="1:25" ht="19.899999999999999" customHeight="1" x14ac:dyDescent="0.25">
      <c r="A13" s="109"/>
      <c r="B13" s="60"/>
      <c r="C13" s="109" t="s">
        <v>63</v>
      </c>
      <c r="D13" s="60"/>
      <c r="E13" s="60"/>
      <c r="F13" s="60"/>
      <c r="G13" s="60"/>
      <c r="H13" s="60"/>
      <c r="I13" s="109" t="s">
        <v>64</v>
      </c>
      <c r="J13" s="60"/>
      <c r="K13" s="60"/>
      <c r="L13" s="38"/>
      <c r="M13" s="38"/>
      <c r="N13" s="38"/>
      <c r="O13" s="4"/>
      <c r="P13" s="1"/>
    </row>
    <row r="14" spans="1:25" ht="21" customHeight="1" x14ac:dyDescent="0.25">
      <c r="A14" s="60"/>
      <c r="B14" s="60"/>
      <c r="C14" s="60"/>
      <c r="D14" s="60"/>
      <c r="E14" s="60"/>
      <c r="F14" s="60"/>
      <c r="G14" s="60"/>
      <c r="H14" s="60"/>
      <c r="I14" s="60"/>
      <c r="J14" s="60"/>
      <c r="K14" s="60"/>
      <c r="L14" s="38"/>
      <c r="M14" s="38"/>
      <c r="N14" s="38"/>
      <c r="O14" s="4"/>
      <c r="P14" s="1"/>
    </row>
    <row r="15" spans="1:25" ht="75" customHeight="1" x14ac:dyDescent="0.25">
      <c r="A15" s="106" t="s">
        <v>80</v>
      </c>
      <c r="B15" s="27" t="s">
        <v>10</v>
      </c>
      <c r="C15" s="27" t="s">
        <v>61</v>
      </c>
      <c r="D15" s="108" t="s">
        <v>11</v>
      </c>
      <c r="E15" s="108"/>
      <c r="F15" s="27" t="s">
        <v>12</v>
      </c>
      <c r="G15" s="27" t="s">
        <v>13</v>
      </c>
      <c r="H15" s="27" t="s">
        <v>62</v>
      </c>
      <c r="I15" s="27" t="s">
        <v>26</v>
      </c>
      <c r="J15" s="27" t="s">
        <v>27</v>
      </c>
      <c r="K15" s="27" t="s">
        <v>22</v>
      </c>
      <c r="L15" s="4"/>
      <c r="M15" s="39"/>
      <c r="N15" s="39"/>
      <c r="O15" s="39"/>
      <c r="P15" s="1"/>
    </row>
    <row r="16" spans="1:25" ht="30" x14ac:dyDescent="0.25">
      <c r="A16" s="107"/>
      <c r="B16" s="25" t="s">
        <v>14</v>
      </c>
      <c r="C16" s="25" t="s">
        <v>18</v>
      </c>
      <c r="D16" s="34" t="s">
        <v>16</v>
      </c>
      <c r="E16" s="25" t="s">
        <v>17</v>
      </c>
      <c r="F16" s="25" t="s">
        <v>5</v>
      </c>
      <c r="G16" s="25" t="s">
        <v>19</v>
      </c>
      <c r="H16" s="25" t="s">
        <v>20</v>
      </c>
      <c r="I16" s="25" t="s">
        <v>23</v>
      </c>
      <c r="J16" s="25" t="s">
        <v>23</v>
      </c>
      <c r="K16" s="25" t="s">
        <v>15</v>
      </c>
      <c r="L16" s="31"/>
      <c r="P16" s="1"/>
    </row>
    <row r="17" spans="1:17" x14ac:dyDescent="0.25">
      <c r="A17" s="107"/>
      <c r="B17" s="29">
        <v>1</v>
      </c>
      <c r="C17" s="9">
        <f>((M$6*1000000)/M$9)/M$8</f>
        <v>1000</v>
      </c>
      <c r="D17" s="36">
        <f>(C17*M$9)/1000000</f>
        <v>1</v>
      </c>
      <c r="E17" s="37">
        <f>D17*0.2928</f>
        <v>0.2928</v>
      </c>
      <c r="F17" s="10">
        <f>(M$7*((C17/(M$6*1000000/M$9))^2))</f>
        <v>0.10000000000000002</v>
      </c>
      <c r="G17" s="10">
        <f t="shared" ref="G17:G25" si="0">(D17/0.033475)*(M$10/100)</f>
        <v>25.39208364451083</v>
      </c>
      <c r="H17" s="10">
        <f>(33475*G17)/(1189.6-198.9)</f>
        <v>857.97920662158072</v>
      </c>
      <c r="I17" s="7"/>
      <c r="J17" s="7"/>
      <c r="K17" s="7"/>
      <c r="L17" s="31"/>
      <c r="P17" s="1"/>
    </row>
    <row r="18" spans="1:17" x14ac:dyDescent="0.25">
      <c r="A18" s="107"/>
      <c r="B18" s="29">
        <v>2</v>
      </c>
      <c r="C18" s="9">
        <f t="shared" ref="C18:C25" si="1">(((((M$6*1000000)/M$9)) -C$17)/8)+C17</f>
        <v>2125</v>
      </c>
      <c r="D18" s="36">
        <f t="shared" ref="D18:D25" si="2">(C18*M$9)/1000000</f>
        <v>2.125</v>
      </c>
      <c r="E18" s="37">
        <f t="shared" ref="E18:E25" si="3">D18*0.2928</f>
        <v>0.62219999999999998</v>
      </c>
      <c r="F18" s="10">
        <f t="shared" ref="F18:F25" si="4">(M$7*((C18/(M$6*1000000/M$9))^2))</f>
        <v>0.45156249999999998</v>
      </c>
      <c r="G18" s="10">
        <f t="shared" si="0"/>
        <v>53.958177744585512</v>
      </c>
      <c r="H18" s="10">
        <f t="shared" ref="H18:H25" si="5">(33475*G18)/(1189.6-198.9)</f>
        <v>1823.2058140708591</v>
      </c>
      <c r="I18" s="7"/>
      <c r="J18" s="7"/>
      <c r="K18" s="7"/>
      <c r="L18" s="31"/>
      <c r="P18" s="1"/>
    </row>
    <row r="19" spans="1:17" x14ac:dyDescent="0.25">
      <c r="A19" s="107"/>
      <c r="B19" s="29">
        <v>3</v>
      </c>
      <c r="C19" s="9">
        <f t="shared" si="1"/>
        <v>3250</v>
      </c>
      <c r="D19" s="36">
        <f t="shared" si="2"/>
        <v>3.25</v>
      </c>
      <c r="E19" s="37">
        <f t="shared" si="3"/>
        <v>0.9516</v>
      </c>
      <c r="F19" s="10">
        <f t="shared" si="4"/>
        <v>1.0562500000000001</v>
      </c>
      <c r="G19" s="10">
        <f t="shared" si="0"/>
        <v>82.524271844660191</v>
      </c>
      <c r="H19" s="10">
        <f t="shared" si="5"/>
        <v>2788.4324215201373</v>
      </c>
      <c r="I19" s="7"/>
      <c r="J19" s="7"/>
      <c r="K19" s="7"/>
      <c r="L19" s="31"/>
      <c r="P19" s="1"/>
    </row>
    <row r="20" spans="1:17" x14ac:dyDescent="0.25">
      <c r="A20" s="107"/>
      <c r="B20" s="29">
        <v>4</v>
      </c>
      <c r="C20" s="9">
        <f t="shared" si="1"/>
        <v>4375</v>
      </c>
      <c r="D20" s="36">
        <f t="shared" si="2"/>
        <v>4.375</v>
      </c>
      <c r="E20" s="37">
        <f t="shared" si="3"/>
        <v>1.2809999999999999</v>
      </c>
      <c r="F20" s="10">
        <f t="shared" si="4"/>
        <v>1.9140625</v>
      </c>
      <c r="G20" s="10">
        <f t="shared" si="0"/>
        <v>111.09036594473488</v>
      </c>
      <c r="H20" s="10">
        <f t="shared" si="5"/>
        <v>3753.6590289694163</v>
      </c>
      <c r="I20" s="7"/>
      <c r="J20" s="7"/>
      <c r="K20" s="7"/>
      <c r="L20" s="31"/>
      <c r="P20" s="1"/>
    </row>
    <row r="21" spans="1:17" x14ac:dyDescent="0.25">
      <c r="A21" s="107"/>
      <c r="B21" s="29">
        <v>5</v>
      </c>
      <c r="C21" s="9">
        <f t="shared" si="1"/>
        <v>5500</v>
      </c>
      <c r="D21" s="36">
        <f t="shared" si="2"/>
        <v>5.5</v>
      </c>
      <c r="E21" s="37">
        <f t="shared" si="3"/>
        <v>1.6104000000000001</v>
      </c>
      <c r="F21" s="10">
        <f t="shared" si="4"/>
        <v>3.0250000000000004</v>
      </c>
      <c r="G21" s="10">
        <f t="shared" si="0"/>
        <v>139.65646004480956</v>
      </c>
      <c r="H21" s="10">
        <f t="shared" si="5"/>
        <v>4718.885636418694</v>
      </c>
      <c r="I21" s="7"/>
      <c r="J21" s="7"/>
      <c r="K21" s="7"/>
      <c r="L21" s="31"/>
      <c r="P21" s="1"/>
    </row>
    <row r="22" spans="1:17" x14ac:dyDescent="0.25">
      <c r="A22" s="107"/>
      <c r="B22" s="29">
        <v>6</v>
      </c>
      <c r="C22" s="9">
        <f t="shared" si="1"/>
        <v>6625</v>
      </c>
      <c r="D22" s="36">
        <f t="shared" si="2"/>
        <v>6.625</v>
      </c>
      <c r="E22" s="37">
        <f t="shared" si="3"/>
        <v>1.9398</v>
      </c>
      <c r="F22" s="10">
        <f t="shared" si="4"/>
        <v>4.3890624999999996</v>
      </c>
      <c r="G22" s="10">
        <f t="shared" si="0"/>
        <v>168.22255414488424</v>
      </c>
      <c r="H22" s="10">
        <f t="shared" si="5"/>
        <v>5684.1122438679722</v>
      </c>
      <c r="I22" s="7"/>
      <c r="J22" s="7"/>
      <c r="K22" s="7"/>
      <c r="L22" s="31"/>
      <c r="P22" s="1"/>
    </row>
    <row r="23" spans="1:17" x14ac:dyDescent="0.25">
      <c r="A23" s="107"/>
      <c r="B23" s="29">
        <v>7</v>
      </c>
      <c r="C23" s="9">
        <f t="shared" si="1"/>
        <v>7750</v>
      </c>
      <c r="D23" s="36">
        <f t="shared" si="2"/>
        <v>7.75</v>
      </c>
      <c r="E23" s="37">
        <f t="shared" si="3"/>
        <v>2.2692000000000001</v>
      </c>
      <c r="F23" s="10">
        <f t="shared" si="4"/>
        <v>6.0062500000000005</v>
      </c>
      <c r="G23" s="10">
        <f t="shared" si="0"/>
        <v>196.78864824495892</v>
      </c>
      <c r="H23" s="10">
        <f t="shared" si="5"/>
        <v>6649.3388513172513</v>
      </c>
      <c r="I23" s="7"/>
      <c r="J23" s="7"/>
      <c r="K23" s="7"/>
      <c r="L23" s="31"/>
      <c r="P23" s="1"/>
    </row>
    <row r="24" spans="1:17" x14ac:dyDescent="0.25">
      <c r="A24" s="107"/>
      <c r="B24" s="29">
        <v>8</v>
      </c>
      <c r="C24" s="9">
        <f t="shared" si="1"/>
        <v>8875</v>
      </c>
      <c r="D24" s="36">
        <f t="shared" si="2"/>
        <v>8.875</v>
      </c>
      <c r="E24" s="37">
        <f t="shared" si="3"/>
        <v>2.5986000000000002</v>
      </c>
      <c r="F24" s="10">
        <f t="shared" si="4"/>
        <v>7.8765624999999995</v>
      </c>
      <c r="G24" s="10">
        <f t="shared" si="0"/>
        <v>225.35474234503363</v>
      </c>
      <c r="H24" s="10">
        <f t="shared" si="5"/>
        <v>7614.5654587665304</v>
      </c>
      <c r="I24" s="7"/>
      <c r="J24" s="7"/>
      <c r="K24" s="7"/>
      <c r="L24" s="31"/>
      <c r="P24" s="1"/>
    </row>
    <row r="25" spans="1:17" x14ac:dyDescent="0.25">
      <c r="A25" s="107"/>
      <c r="B25" s="29">
        <v>9</v>
      </c>
      <c r="C25" s="9">
        <f t="shared" si="1"/>
        <v>10000</v>
      </c>
      <c r="D25" s="36">
        <f t="shared" si="2"/>
        <v>10</v>
      </c>
      <c r="E25" s="37">
        <f t="shared" si="3"/>
        <v>2.9279999999999999</v>
      </c>
      <c r="F25" s="10">
        <f t="shared" si="4"/>
        <v>10</v>
      </c>
      <c r="G25" s="10">
        <f t="shared" si="0"/>
        <v>253.92083644510831</v>
      </c>
      <c r="H25" s="10">
        <f t="shared" si="5"/>
        <v>8579.7920662158067</v>
      </c>
      <c r="I25" s="7"/>
      <c r="J25" s="7"/>
      <c r="K25" s="7"/>
      <c r="L25" s="31"/>
      <c r="P25" s="1"/>
    </row>
    <row r="26" spans="1:17" x14ac:dyDescent="0.25">
      <c r="K26" s="4"/>
      <c r="L26" s="4"/>
      <c r="M26" s="4"/>
      <c r="N26" s="4"/>
      <c r="O26" s="4"/>
      <c r="P26" s="4"/>
      <c r="Q26" s="4"/>
    </row>
    <row r="27" spans="1:17" x14ac:dyDescent="0.25">
      <c r="K27" s="4"/>
      <c r="L27" s="4"/>
      <c r="M27" s="4"/>
      <c r="N27" s="4"/>
      <c r="O27" s="4"/>
      <c r="P27" s="4"/>
      <c r="Q27" s="4"/>
    </row>
  </sheetData>
  <mergeCells count="38">
    <mergeCell ref="A15:A25"/>
    <mergeCell ref="D15:E15"/>
    <mergeCell ref="I13:K14"/>
    <mergeCell ref="A12:K12"/>
    <mergeCell ref="A13:B14"/>
    <mergeCell ref="C13:H14"/>
    <mergeCell ref="X8:Y8"/>
    <mergeCell ref="B10:J10"/>
    <mergeCell ref="K10:L10"/>
    <mergeCell ref="M10:O10"/>
    <mergeCell ref="Q10:V10"/>
    <mergeCell ref="X10:Y10"/>
    <mergeCell ref="B9:J9"/>
    <mergeCell ref="K9:L9"/>
    <mergeCell ref="M9:O9"/>
    <mergeCell ref="Q9:V9"/>
    <mergeCell ref="X9:Y9"/>
    <mergeCell ref="A6:A10"/>
    <mergeCell ref="B6:J6"/>
    <mergeCell ref="K6:L6"/>
    <mergeCell ref="M6:O6"/>
    <mergeCell ref="Q6:V6"/>
    <mergeCell ref="B8:J8"/>
    <mergeCell ref="K8:L8"/>
    <mergeCell ref="M8:O8"/>
    <mergeCell ref="Q8:V8"/>
    <mergeCell ref="X6:Y6"/>
    <mergeCell ref="B7:J7"/>
    <mergeCell ref="K7:L7"/>
    <mergeCell ref="M7:O7"/>
    <mergeCell ref="Q7:V7"/>
    <mergeCell ref="X7:Y7"/>
    <mergeCell ref="X5:Y5"/>
    <mergeCell ref="K5:L5"/>
    <mergeCell ref="M5:O5"/>
    <mergeCell ref="B5:J5"/>
    <mergeCell ref="D2:L2"/>
    <mergeCell ref="D3:L3"/>
  </mergeCells>
  <pageMargins left="0.7" right="0.7" top="0.75" bottom="0.75" header="0.3" footer="0.3"/>
  <pageSetup paperSize="17"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9"/>
  <sheetViews>
    <sheetView zoomScale="75" zoomScaleNormal="75" workbookViewId="0">
      <selection activeCell="N30" sqref="N30"/>
    </sheetView>
  </sheetViews>
  <sheetFormatPr defaultColWidth="8.85546875" defaultRowHeight="15" x14ac:dyDescent="0.25"/>
  <cols>
    <col min="1" max="1" width="7.28515625" style="1" customWidth="1"/>
    <col min="2" max="2" width="6.28515625" style="1" bestFit="1" customWidth="1"/>
    <col min="3" max="3" width="12.28515625" style="1" bestFit="1" customWidth="1"/>
    <col min="4" max="4" width="10.28515625" style="1" customWidth="1"/>
    <col min="5" max="5" width="9.7109375" style="1" customWidth="1"/>
    <col min="6" max="6" width="8.5703125" style="1" customWidth="1"/>
    <col min="7" max="7" width="8.85546875" style="1" customWidth="1"/>
    <col min="8" max="8" width="9.5703125" style="1" customWidth="1"/>
    <col min="9" max="9" width="11.42578125" style="1" customWidth="1"/>
    <col min="10" max="10" width="9.5703125" style="1" customWidth="1"/>
    <col min="11" max="11" width="11.5703125" style="1" customWidth="1"/>
    <col min="12" max="12" width="10.42578125" style="1" customWidth="1"/>
    <col min="13" max="13" width="11.42578125" style="1" customWidth="1"/>
    <col min="14" max="14" width="13.7109375" style="1" customWidth="1"/>
    <col min="15" max="15" width="8.85546875" style="31"/>
    <col min="16" max="24" width="8.85546875" style="1"/>
    <col min="25" max="25" width="5" style="1" customWidth="1"/>
    <col min="26" max="26" width="4.42578125" style="1" customWidth="1"/>
    <col min="27" max="16384" width="8.85546875" style="1"/>
  </cols>
  <sheetData>
    <row r="2" spans="1:26" x14ac:dyDescent="0.25">
      <c r="C2" s="3"/>
      <c r="D2" s="87" t="s">
        <v>88</v>
      </c>
      <c r="E2" s="99"/>
      <c r="F2" s="99"/>
      <c r="G2" s="99"/>
      <c r="H2" s="99"/>
      <c r="I2" s="99"/>
      <c r="J2" s="99"/>
      <c r="K2" s="87"/>
      <c r="L2" s="87"/>
    </row>
    <row r="3" spans="1:26" x14ac:dyDescent="0.25">
      <c r="C3" s="2"/>
      <c r="D3" s="87" t="s">
        <v>89</v>
      </c>
      <c r="E3" s="99"/>
      <c r="F3" s="99"/>
      <c r="G3" s="99"/>
      <c r="H3" s="99"/>
      <c r="I3" s="99"/>
      <c r="J3" s="99"/>
      <c r="K3" s="87"/>
      <c r="L3" s="87"/>
    </row>
    <row r="4" spans="1:26" x14ac:dyDescent="0.25">
      <c r="V4" s="54" t="s">
        <v>0</v>
      </c>
      <c r="W4" s="92" t="s">
        <v>1</v>
      </c>
      <c r="X4" s="93"/>
    </row>
    <row r="5" spans="1:26" x14ac:dyDescent="0.25">
      <c r="A5" s="8"/>
      <c r="B5" s="97" t="s">
        <v>85</v>
      </c>
      <c r="C5" s="98"/>
      <c r="D5" s="98"/>
      <c r="E5" s="98"/>
      <c r="F5" s="98"/>
      <c r="G5" s="98"/>
      <c r="H5" s="98"/>
      <c r="I5" s="98"/>
      <c r="J5" s="98"/>
      <c r="K5" s="87"/>
      <c r="L5" s="94" t="s">
        <v>0</v>
      </c>
      <c r="M5" s="94"/>
      <c r="N5" s="41" t="s">
        <v>1</v>
      </c>
      <c r="P5" s="87" t="s">
        <v>98</v>
      </c>
      <c r="Q5" s="87"/>
      <c r="R5" s="87"/>
      <c r="S5" s="87"/>
      <c r="T5" s="87"/>
      <c r="U5" s="111"/>
      <c r="V5" s="54" t="s">
        <v>18</v>
      </c>
      <c r="W5" s="110">
        <v>2000</v>
      </c>
      <c r="X5" s="110"/>
      <c r="Y5" s="1">
        <f>1/(W5/D27)</f>
        <v>5</v>
      </c>
      <c r="Z5" t="s">
        <v>99</v>
      </c>
    </row>
    <row r="6" spans="1:26" x14ac:dyDescent="0.25">
      <c r="A6" s="112" t="s">
        <v>57</v>
      </c>
      <c r="B6" s="98" t="s">
        <v>2</v>
      </c>
      <c r="C6" s="98"/>
      <c r="D6" s="98"/>
      <c r="E6" s="98"/>
      <c r="F6" s="98"/>
      <c r="G6" s="98"/>
      <c r="H6" s="98"/>
      <c r="I6" s="98"/>
      <c r="J6" s="98"/>
      <c r="K6" s="98"/>
      <c r="L6" s="94" t="s">
        <v>3</v>
      </c>
      <c r="M6" s="98"/>
      <c r="N6" s="43">
        <v>10</v>
      </c>
      <c r="O6" s="32"/>
      <c r="P6" s="87" t="s">
        <v>75</v>
      </c>
      <c r="Q6" s="87"/>
      <c r="R6" s="87"/>
      <c r="S6" s="87"/>
      <c r="T6" s="87"/>
      <c r="U6" s="87"/>
      <c r="V6" s="28" t="s">
        <v>76</v>
      </c>
      <c r="W6" s="100"/>
      <c r="X6" s="101"/>
    </row>
    <row r="7" spans="1:26" x14ac:dyDescent="0.25">
      <c r="A7" s="113"/>
      <c r="B7" s="98" t="s">
        <v>4</v>
      </c>
      <c r="C7" s="98"/>
      <c r="D7" s="98"/>
      <c r="E7" s="98"/>
      <c r="F7" s="98"/>
      <c r="G7" s="98"/>
      <c r="H7" s="98"/>
      <c r="I7" s="98"/>
      <c r="J7" s="98"/>
      <c r="K7" s="98"/>
      <c r="L7" s="94" t="s">
        <v>5</v>
      </c>
      <c r="M7" s="98"/>
      <c r="N7" s="42">
        <v>10</v>
      </c>
      <c r="O7" s="33"/>
      <c r="P7" s="87" t="s">
        <v>69</v>
      </c>
      <c r="Q7" s="87"/>
      <c r="R7" s="87"/>
      <c r="S7" s="87"/>
      <c r="T7" s="87"/>
      <c r="U7" s="87"/>
      <c r="V7" s="28" t="s">
        <v>5</v>
      </c>
      <c r="W7" s="100"/>
      <c r="X7" s="101"/>
    </row>
    <row r="8" spans="1:26" x14ac:dyDescent="0.25">
      <c r="A8" s="113"/>
      <c r="B8" s="98" t="s">
        <v>6</v>
      </c>
      <c r="C8" s="98"/>
      <c r="D8" s="98"/>
      <c r="E8" s="98"/>
      <c r="F8" s="98"/>
      <c r="G8" s="98"/>
      <c r="H8" s="98"/>
      <c r="I8" s="98"/>
      <c r="J8" s="98"/>
      <c r="K8" s="98"/>
      <c r="L8" s="94" t="s">
        <v>7</v>
      </c>
      <c r="M8" s="98"/>
      <c r="N8" s="42">
        <v>10</v>
      </c>
      <c r="O8" s="33"/>
      <c r="P8" s="87" t="s">
        <v>70</v>
      </c>
      <c r="Q8" s="87"/>
      <c r="R8" s="87"/>
      <c r="S8" s="87"/>
      <c r="T8" s="87"/>
      <c r="U8" s="87"/>
      <c r="V8" s="28" t="s">
        <v>5</v>
      </c>
      <c r="W8" s="100"/>
      <c r="X8" s="101"/>
    </row>
    <row r="9" spans="1:26" x14ac:dyDescent="0.25">
      <c r="A9" s="113"/>
      <c r="B9" s="98" t="s">
        <v>46</v>
      </c>
      <c r="C9" s="98"/>
      <c r="D9" s="98"/>
      <c r="E9" s="98"/>
      <c r="F9" s="98"/>
      <c r="G9" s="98"/>
      <c r="H9" s="98"/>
      <c r="I9" s="98"/>
      <c r="J9" s="98"/>
      <c r="K9" s="98"/>
      <c r="L9" s="94" t="s">
        <v>8</v>
      </c>
      <c r="M9" s="98"/>
      <c r="N9" s="42">
        <v>1000</v>
      </c>
      <c r="O9" s="33"/>
      <c r="P9" s="87" t="s">
        <v>71</v>
      </c>
      <c r="Q9" s="87"/>
      <c r="R9" s="87"/>
      <c r="S9" s="87"/>
      <c r="T9" s="87"/>
      <c r="U9" s="87"/>
      <c r="V9" s="28" t="s">
        <v>5</v>
      </c>
      <c r="W9" s="100"/>
      <c r="X9" s="101"/>
    </row>
    <row r="10" spans="1:26" ht="15.75" thickBot="1" x14ac:dyDescent="0.3">
      <c r="A10" s="114"/>
      <c r="B10" s="115" t="s">
        <v>68</v>
      </c>
      <c r="C10" s="115"/>
      <c r="D10" s="115"/>
      <c r="E10" s="115"/>
      <c r="F10" s="115"/>
      <c r="G10" s="115"/>
      <c r="H10" s="115"/>
      <c r="I10" s="115"/>
      <c r="J10" s="115"/>
      <c r="K10" s="115"/>
      <c r="L10" s="94" t="s">
        <v>9</v>
      </c>
      <c r="M10" s="98"/>
      <c r="N10" s="42">
        <v>82</v>
      </c>
      <c r="O10" s="33"/>
      <c r="P10" s="87" t="s">
        <v>72</v>
      </c>
      <c r="Q10" s="87"/>
      <c r="R10" s="87"/>
      <c r="S10" s="87"/>
      <c r="T10" s="87"/>
      <c r="U10" s="87"/>
      <c r="V10" s="28" t="s">
        <v>5</v>
      </c>
      <c r="W10" s="100"/>
      <c r="X10" s="101"/>
    </row>
    <row r="11" spans="1:26" ht="15.75" thickTop="1" x14ac:dyDescent="0.25">
      <c r="B11" s="116" t="s">
        <v>74</v>
      </c>
      <c r="C11" s="117"/>
      <c r="D11" s="117"/>
      <c r="E11" s="117"/>
      <c r="F11" s="117"/>
      <c r="G11" s="117"/>
      <c r="H11" s="117"/>
      <c r="I11" s="117"/>
      <c r="J11" s="117"/>
      <c r="K11" s="118"/>
      <c r="L11" s="94" t="s">
        <v>73</v>
      </c>
      <c r="M11" s="94"/>
      <c r="N11" s="44" t="s">
        <v>67</v>
      </c>
    </row>
    <row r="13" spans="1:26" x14ac:dyDescent="0.25">
      <c r="A13" s="92" t="s">
        <v>47</v>
      </c>
      <c r="B13" s="92"/>
      <c r="C13" s="92"/>
      <c r="D13" s="92"/>
      <c r="E13" s="92"/>
      <c r="F13" s="92"/>
      <c r="G13" s="92"/>
      <c r="H13" s="92"/>
      <c r="I13" s="92"/>
      <c r="J13" s="92"/>
      <c r="K13" s="92"/>
      <c r="L13" s="92"/>
      <c r="M13" s="92"/>
      <c r="N13" s="40"/>
    </row>
    <row r="14" spans="1:26" ht="14.45" customHeight="1" x14ac:dyDescent="0.25">
      <c r="A14" s="109"/>
      <c r="B14" s="60"/>
      <c r="C14" s="119" t="s">
        <v>65</v>
      </c>
      <c r="D14" s="120" t="s">
        <v>63</v>
      </c>
      <c r="E14" s="87"/>
      <c r="F14" s="87"/>
      <c r="G14" s="87"/>
      <c r="H14" s="87"/>
      <c r="I14" s="87"/>
      <c r="J14" s="87"/>
      <c r="K14" s="109" t="s">
        <v>64</v>
      </c>
      <c r="L14" s="60"/>
      <c r="M14" s="60"/>
      <c r="N14" s="47"/>
    </row>
    <row r="15" spans="1:26" x14ac:dyDescent="0.25">
      <c r="A15" s="60"/>
      <c r="B15" s="60"/>
      <c r="C15" s="119"/>
      <c r="D15" s="87"/>
      <c r="E15" s="87"/>
      <c r="F15" s="87"/>
      <c r="G15" s="87"/>
      <c r="H15" s="87"/>
      <c r="I15" s="87"/>
      <c r="J15" s="87"/>
      <c r="K15" s="60"/>
      <c r="L15" s="60"/>
      <c r="M15" s="60"/>
      <c r="N15" s="47"/>
    </row>
    <row r="16" spans="1:26" ht="75" customHeight="1" x14ac:dyDescent="0.25">
      <c r="A16" s="106" t="s">
        <v>43</v>
      </c>
      <c r="B16" s="45" t="s">
        <v>10</v>
      </c>
      <c r="C16" s="45" t="s">
        <v>77</v>
      </c>
      <c r="D16" s="45" t="s">
        <v>61</v>
      </c>
      <c r="E16" s="45" t="s">
        <v>21</v>
      </c>
      <c r="F16" s="108" t="s">
        <v>11</v>
      </c>
      <c r="G16" s="108"/>
      <c r="H16" s="45" t="s">
        <v>12</v>
      </c>
      <c r="I16" s="45" t="s">
        <v>13</v>
      </c>
      <c r="J16" s="45" t="s">
        <v>62</v>
      </c>
      <c r="K16" s="45" t="s">
        <v>26</v>
      </c>
      <c r="L16" s="45" t="s">
        <v>27</v>
      </c>
      <c r="M16" s="45" t="s">
        <v>82</v>
      </c>
      <c r="N16" s="4"/>
      <c r="O16" s="1"/>
    </row>
    <row r="17" spans="1:16" ht="30" x14ac:dyDescent="0.25">
      <c r="A17" s="107"/>
      <c r="B17" s="25" t="s">
        <v>14</v>
      </c>
      <c r="C17" s="25" t="s">
        <v>18</v>
      </c>
      <c r="D17" s="25" t="s">
        <v>18</v>
      </c>
      <c r="E17" s="25" t="s">
        <v>15</v>
      </c>
      <c r="F17" s="34" t="s">
        <v>16</v>
      </c>
      <c r="G17" s="25" t="s">
        <v>17</v>
      </c>
      <c r="H17" s="25" t="s">
        <v>5</v>
      </c>
      <c r="I17" s="25" t="s">
        <v>19</v>
      </c>
      <c r="J17" s="25" t="s">
        <v>20</v>
      </c>
      <c r="K17" s="25" t="s">
        <v>23</v>
      </c>
      <c r="L17" s="25" t="s">
        <v>23</v>
      </c>
      <c r="M17" s="25" t="s">
        <v>23</v>
      </c>
      <c r="N17" s="31"/>
      <c r="O17" s="1"/>
    </row>
    <row r="18" spans="1:16" x14ac:dyDescent="0.25">
      <c r="A18" s="107"/>
      <c r="B18" s="46">
        <v>1</v>
      </c>
      <c r="C18" s="9">
        <v>1111</v>
      </c>
      <c r="D18" s="9">
        <f>((N$6*1000000)/N$9)/N$8</f>
        <v>1000</v>
      </c>
      <c r="E18" s="10">
        <f t="shared" ref="E18:E27" si="0">IF(N$11="M",((C18/((N$6*1000000)/N$9))*100),(D18/((N$6*1000000)/N$9))*100)</f>
        <v>10</v>
      </c>
      <c r="F18" s="30">
        <f t="shared" ref="F18:F27" si="1">IF(N$11="M",((C18*N$9)/1000000),((D18*N$9)/1000000))</f>
        <v>1</v>
      </c>
      <c r="G18" s="10">
        <f>F18*0.2928</f>
        <v>0.2928</v>
      </c>
      <c r="H18" s="10">
        <f t="shared" ref="H18:H27" si="2">IF(N$11="M",(N$7*((C18/(N$6*1000000/N$9))^2)), (N$7*((D18/(N$6*1000000/N$9))^2)))</f>
        <v>0.10000000000000002</v>
      </c>
      <c r="I18" s="10">
        <f t="shared" ref="I18:I27" si="3">(F18/0.033475)*(N$10/100)</f>
        <v>24.495892457057504</v>
      </c>
      <c r="J18" s="10">
        <f>(33475*I18)/(1189.6-198.9)</f>
        <v>827.69758756434851</v>
      </c>
      <c r="K18" s="7"/>
      <c r="L18" s="7"/>
      <c r="M18" s="7"/>
      <c r="N18" s="31"/>
      <c r="O18" s="1"/>
    </row>
    <row r="19" spans="1:16" x14ac:dyDescent="0.25">
      <c r="A19" s="107"/>
      <c r="B19" s="46">
        <v>2</v>
      </c>
      <c r="C19" s="9">
        <v>2000</v>
      </c>
      <c r="D19" s="9">
        <f t="shared" ref="D19:D27" si="4">(((((N$6*1000000)/N$9)) -D$18)/9)+D18</f>
        <v>2000</v>
      </c>
      <c r="E19" s="10">
        <f t="shared" si="0"/>
        <v>20</v>
      </c>
      <c r="F19" s="30">
        <f t="shared" si="1"/>
        <v>2</v>
      </c>
      <c r="G19" s="10">
        <f t="shared" ref="G19:G27" si="5">F19*0.2928</f>
        <v>0.58560000000000001</v>
      </c>
      <c r="H19" s="10">
        <f t="shared" si="2"/>
        <v>0.40000000000000008</v>
      </c>
      <c r="I19" s="10">
        <f t="shared" si="3"/>
        <v>48.991784914115009</v>
      </c>
      <c r="J19" s="10">
        <f t="shared" ref="J19:J27" si="6">(33475*I19)/(1189.6-198.9)</f>
        <v>1655.395175128697</v>
      </c>
      <c r="K19" s="7"/>
      <c r="L19" s="7"/>
      <c r="M19" s="7"/>
      <c r="N19" s="31"/>
      <c r="O19" s="1"/>
    </row>
    <row r="20" spans="1:16" x14ac:dyDescent="0.25">
      <c r="A20" s="107"/>
      <c r="B20" s="46">
        <v>3</v>
      </c>
      <c r="C20" s="9">
        <v>2500</v>
      </c>
      <c r="D20" s="9">
        <f t="shared" si="4"/>
        <v>3000</v>
      </c>
      <c r="E20" s="10">
        <f t="shared" si="0"/>
        <v>30</v>
      </c>
      <c r="F20" s="30">
        <f t="shared" si="1"/>
        <v>3</v>
      </c>
      <c r="G20" s="10">
        <f t="shared" si="5"/>
        <v>0.87840000000000007</v>
      </c>
      <c r="H20" s="10">
        <f t="shared" si="2"/>
        <v>0.89999999999999991</v>
      </c>
      <c r="I20" s="10">
        <f t="shared" si="3"/>
        <v>73.487677371172524</v>
      </c>
      <c r="J20" s="10">
        <f t="shared" si="6"/>
        <v>2483.0927626930456</v>
      </c>
      <c r="K20" s="7"/>
      <c r="L20" s="7"/>
      <c r="M20" s="7"/>
      <c r="N20" s="31"/>
      <c r="O20" s="1"/>
    </row>
    <row r="21" spans="1:16" x14ac:dyDescent="0.25">
      <c r="A21" s="107"/>
      <c r="B21" s="46">
        <v>4</v>
      </c>
      <c r="C21" s="9">
        <v>22</v>
      </c>
      <c r="D21" s="9">
        <f t="shared" si="4"/>
        <v>4000</v>
      </c>
      <c r="E21" s="10">
        <f t="shared" si="0"/>
        <v>40</v>
      </c>
      <c r="F21" s="30">
        <f t="shared" si="1"/>
        <v>4</v>
      </c>
      <c r="G21" s="10">
        <f t="shared" si="5"/>
        <v>1.1712</v>
      </c>
      <c r="H21" s="10">
        <f t="shared" si="2"/>
        <v>1.6000000000000003</v>
      </c>
      <c r="I21" s="10">
        <f t="shared" si="3"/>
        <v>97.983569828230017</v>
      </c>
      <c r="J21" s="10">
        <f t="shared" si="6"/>
        <v>3310.790350257394</v>
      </c>
      <c r="K21" s="7"/>
      <c r="L21" s="7"/>
      <c r="M21" s="7"/>
      <c r="N21" s="31"/>
      <c r="O21" s="1"/>
    </row>
    <row r="22" spans="1:16" x14ac:dyDescent="0.25">
      <c r="A22" s="107"/>
      <c r="B22" s="46">
        <v>5</v>
      </c>
      <c r="C22" s="9">
        <v>2345</v>
      </c>
      <c r="D22" s="9">
        <f t="shared" si="4"/>
        <v>5000</v>
      </c>
      <c r="E22" s="10">
        <f t="shared" si="0"/>
        <v>50</v>
      </c>
      <c r="F22" s="30">
        <f t="shared" si="1"/>
        <v>5</v>
      </c>
      <c r="G22" s="10">
        <f t="shared" si="5"/>
        <v>1.464</v>
      </c>
      <c r="H22" s="10">
        <f t="shared" si="2"/>
        <v>2.5</v>
      </c>
      <c r="I22" s="10">
        <f t="shared" si="3"/>
        <v>122.47946228528752</v>
      </c>
      <c r="J22" s="10">
        <f t="shared" si="6"/>
        <v>4138.4879378217429</v>
      </c>
      <c r="K22" s="7"/>
      <c r="L22" s="7"/>
      <c r="M22" s="7"/>
      <c r="N22" s="31"/>
      <c r="O22" s="1"/>
    </row>
    <row r="23" spans="1:16" x14ac:dyDescent="0.25">
      <c r="A23" s="107"/>
      <c r="B23" s="46">
        <v>6</v>
      </c>
      <c r="C23" s="9">
        <v>4000</v>
      </c>
      <c r="D23" s="9">
        <f t="shared" si="4"/>
        <v>6000</v>
      </c>
      <c r="E23" s="10">
        <f t="shared" si="0"/>
        <v>60</v>
      </c>
      <c r="F23" s="30">
        <f t="shared" si="1"/>
        <v>6</v>
      </c>
      <c r="G23" s="10">
        <f t="shared" si="5"/>
        <v>1.7568000000000001</v>
      </c>
      <c r="H23" s="10">
        <f t="shared" si="2"/>
        <v>3.5999999999999996</v>
      </c>
      <c r="I23" s="10">
        <f t="shared" si="3"/>
        <v>146.97535474234505</v>
      </c>
      <c r="J23" s="10">
        <f t="shared" si="6"/>
        <v>4966.1855253860913</v>
      </c>
      <c r="K23" s="7"/>
      <c r="L23" s="7"/>
      <c r="M23" s="7"/>
      <c r="N23" s="31"/>
      <c r="O23" s="1"/>
    </row>
    <row r="24" spans="1:16" x14ac:dyDescent="0.25">
      <c r="A24" s="107"/>
      <c r="B24" s="46">
        <v>7</v>
      </c>
      <c r="C24" s="9">
        <v>4500</v>
      </c>
      <c r="D24" s="9">
        <f t="shared" si="4"/>
        <v>7000</v>
      </c>
      <c r="E24" s="10">
        <f t="shared" si="0"/>
        <v>70</v>
      </c>
      <c r="F24" s="30">
        <f t="shared" si="1"/>
        <v>7</v>
      </c>
      <c r="G24" s="10">
        <f t="shared" si="5"/>
        <v>2.0495999999999999</v>
      </c>
      <c r="H24" s="10">
        <f t="shared" si="2"/>
        <v>4.8999999999999995</v>
      </c>
      <c r="I24" s="10">
        <f t="shared" si="3"/>
        <v>171.47124719940254</v>
      </c>
      <c r="J24" s="10">
        <f t="shared" si="6"/>
        <v>5793.8831129504397</v>
      </c>
      <c r="K24" s="7"/>
      <c r="L24" s="7"/>
      <c r="M24" s="7"/>
      <c r="N24" s="31"/>
      <c r="O24" s="1"/>
    </row>
    <row r="25" spans="1:16" x14ac:dyDescent="0.25">
      <c r="A25" s="107"/>
      <c r="B25" s="46">
        <v>8</v>
      </c>
      <c r="C25" s="9">
        <v>5000</v>
      </c>
      <c r="D25" s="9">
        <f t="shared" si="4"/>
        <v>8000</v>
      </c>
      <c r="E25" s="10">
        <f t="shared" si="0"/>
        <v>80</v>
      </c>
      <c r="F25" s="30">
        <f t="shared" si="1"/>
        <v>8</v>
      </c>
      <c r="G25" s="10">
        <f t="shared" si="5"/>
        <v>2.3424</v>
      </c>
      <c r="H25" s="10">
        <f t="shared" si="2"/>
        <v>6.4000000000000012</v>
      </c>
      <c r="I25" s="10">
        <f t="shared" si="3"/>
        <v>195.96713965646003</v>
      </c>
      <c r="J25" s="10">
        <f t="shared" si="6"/>
        <v>6621.5807005147881</v>
      </c>
      <c r="K25" s="7"/>
      <c r="L25" s="7"/>
      <c r="M25" s="7"/>
      <c r="N25" s="31"/>
      <c r="O25" s="1"/>
    </row>
    <row r="26" spans="1:16" x14ac:dyDescent="0.25">
      <c r="A26" s="107"/>
      <c r="B26" s="46">
        <v>9</v>
      </c>
      <c r="C26" s="9">
        <v>9000</v>
      </c>
      <c r="D26" s="9">
        <f t="shared" si="4"/>
        <v>9000</v>
      </c>
      <c r="E26" s="10">
        <f t="shared" si="0"/>
        <v>90</v>
      </c>
      <c r="F26" s="30">
        <f t="shared" si="1"/>
        <v>9</v>
      </c>
      <c r="G26" s="10">
        <f t="shared" si="5"/>
        <v>2.6352000000000002</v>
      </c>
      <c r="H26" s="10">
        <f t="shared" si="2"/>
        <v>8.1000000000000014</v>
      </c>
      <c r="I26" s="10">
        <f t="shared" si="3"/>
        <v>220.46303211351756</v>
      </c>
      <c r="J26" s="10">
        <f t="shared" si="6"/>
        <v>7449.2782880791365</v>
      </c>
      <c r="K26" s="7"/>
      <c r="L26" s="7"/>
      <c r="M26" s="7"/>
      <c r="N26" s="31"/>
      <c r="O26" s="1"/>
    </row>
    <row r="27" spans="1:16" x14ac:dyDescent="0.25">
      <c r="A27" s="107"/>
      <c r="B27" s="46">
        <v>10</v>
      </c>
      <c r="C27" s="9">
        <v>8000</v>
      </c>
      <c r="D27" s="9">
        <f t="shared" si="4"/>
        <v>10000</v>
      </c>
      <c r="E27" s="10">
        <f t="shared" si="0"/>
        <v>100</v>
      </c>
      <c r="F27" s="30">
        <f t="shared" si="1"/>
        <v>10</v>
      </c>
      <c r="G27" s="10">
        <f t="shared" si="5"/>
        <v>2.9279999999999999</v>
      </c>
      <c r="H27" s="10">
        <f t="shared" si="2"/>
        <v>10</v>
      </c>
      <c r="I27" s="10">
        <f t="shared" si="3"/>
        <v>244.95892457057505</v>
      </c>
      <c r="J27" s="10">
        <f t="shared" si="6"/>
        <v>8276.9758756434858</v>
      </c>
      <c r="K27" s="7"/>
      <c r="L27" s="7"/>
      <c r="M27" s="7"/>
      <c r="N27" s="31"/>
      <c r="O27" s="1"/>
    </row>
    <row r="28" spans="1:16" x14ac:dyDescent="0.25">
      <c r="L28" s="4"/>
      <c r="M28" s="4"/>
      <c r="N28" s="4"/>
      <c r="O28" s="4"/>
      <c r="P28" s="4"/>
    </row>
    <row r="29" spans="1:16" x14ac:dyDescent="0.25">
      <c r="L29" s="4"/>
      <c r="M29" s="4"/>
      <c r="N29" s="4"/>
      <c r="O29" s="4"/>
      <c r="P29" s="4"/>
    </row>
  </sheetData>
  <mergeCells count="37">
    <mergeCell ref="A16:A27"/>
    <mergeCell ref="F16:G16"/>
    <mergeCell ref="B11:K11"/>
    <mergeCell ref="L11:M11"/>
    <mergeCell ref="A14:B15"/>
    <mergeCell ref="C14:C15"/>
    <mergeCell ref="D14:J15"/>
    <mergeCell ref="K14:M15"/>
    <mergeCell ref="A13:M13"/>
    <mergeCell ref="W8:X8"/>
    <mergeCell ref="B10:K10"/>
    <mergeCell ref="L10:M10"/>
    <mergeCell ref="P10:U10"/>
    <mergeCell ref="W10:X10"/>
    <mergeCell ref="B9:K9"/>
    <mergeCell ref="L9:M9"/>
    <mergeCell ref="P9:U9"/>
    <mergeCell ref="W9:X9"/>
    <mergeCell ref="A6:A10"/>
    <mergeCell ref="B6:K6"/>
    <mergeCell ref="L6:M6"/>
    <mergeCell ref="P6:U6"/>
    <mergeCell ref="B8:K8"/>
    <mergeCell ref="L8:M8"/>
    <mergeCell ref="P8:U8"/>
    <mergeCell ref="W6:X6"/>
    <mergeCell ref="B7:K7"/>
    <mergeCell ref="L7:M7"/>
    <mergeCell ref="P7:U7"/>
    <mergeCell ref="W7:X7"/>
    <mergeCell ref="D2:L2"/>
    <mergeCell ref="D3:L3"/>
    <mergeCell ref="W5:X5"/>
    <mergeCell ref="L5:M5"/>
    <mergeCell ref="B5:K5"/>
    <mergeCell ref="W4:X4"/>
    <mergeCell ref="P5:U5"/>
  </mergeCells>
  <conditionalFormatting sqref="C14:C15 C17">
    <cfRule type="expression" dxfId="22" priority="7">
      <formula>$N$11="N"</formula>
    </cfRule>
  </conditionalFormatting>
  <conditionalFormatting sqref="C18:C27">
    <cfRule type="expression" dxfId="21" priority="5">
      <formula>$N$11="M"</formula>
    </cfRule>
    <cfRule type="expression" dxfId="20" priority="6">
      <formula>$N$11="A"</formula>
    </cfRule>
  </conditionalFormatting>
  <conditionalFormatting sqref="N6">
    <cfRule type="expression" dxfId="19" priority="3">
      <formula>$N$11="A"</formula>
    </cfRule>
    <cfRule type="expression" dxfId="18" priority="4">
      <formula>$N$11="M"</formula>
    </cfRule>
  </conditionalFormatting>
  <conditionalFormatting sqref="W5:X5">
    <cfRule type="expression" dxfId="17" priority="1">
      <formula>$N$13="A"</formula>
    </cfRule>
    <cfRule type="expression" dxfId="16" priority="2">
      <formula>$N$13="M"</formula>
    </cfRule>
  </conditionalFormatting>
  <pageMargins left="0.7" right="0.7" top="0.75" bottom="0.75" header="0.3" footer="0.3"/>
  <pageSetup paperSize="17"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66"/>
  <sheetViews>
    <sheetView topLeftCell="A12" zoomScale="75" zoomScaleNormal="75" workbookViewId="0">
      <selection activeCell="K20" sqref="K20"/>
    </sheetView>
  </sheetViews>
  <sheetFormatPr defaultColWidth="8.85546875" defaultRowHeight="15" x14ac:dyDescent="0.25"/>
  <cols>
    <col min="1" max="1" width="7.28515625" style="1" customWidth="1"/>
    <col min="2" max="2" width="6.28515625" style="1" bestFit="1" customWidth="1"/>
    <col min="3" max="3" width="12.28515625" style="1" bestFit="1" customWidth="1"/>
    <col min="4" max="4" width="10.28515625" style="1" customWidth="1"/>
    <col min="5" max="5" width="9.7109375" style="1" customWidth="1"/>
    <col min="6" max="6" width="8.5703125" style="1" customWidth="1"/>
    <col min="7" max="7" width="10.140625" style="1" customWidth="1"/>
    <col min="8" max="8" width="9.5703125" style="1" customWidth="1"/>
    <col min="9" max="9" width="11.42578125" style="1" customWidth="1"/>
    <col min="10" max="10" width="8.28515625" style="1" customWidth="1"/>
    <col min="11" max="11" width="9.7109375" style="1" customWidth="1"/>
    <col min="12" max="12" width="6.7109375" style="1" bestFit="1" customWidth="1"/>
    <col min="13" max="13" width="8.28515625" style="1" bestFit="1" customWidth="1"/>
    <col min="14" max="14" width="7.7109375" style="1" bestFit="1" customWidth="1"/>
    <col min="15" max="15" width="8.28515625" style="1" bestFit="1" customWidth="1"/>
    <col min="16" max="16" width="11.7109375" style="1" customWidth="1"/>
    <col min="17" max="17" width="10" style="1" customWidth="1"/>
    <col min="18" max="26" width="8.85546875" style="1"/>
    <col min="27" max="27" width="5.140625" style="1" customWidth="1"/>
    <col min="28" max="28" width="5.42578125" style="1" customWidth="1"/>
    <col min="29" max="16384" width="8.85546875" style="1"/>
  </cols>
  <sheetData>
    <row r="2" spans="1:28" x14ac:dyDescent="0.25">
      <c r="C2" s="3"/>
      <c r="D2" s="87" t="s">
        <v>88</v>
      </c>
      <c r="E2" s="99"/>
      <c r="F2" s="99"/>
      <c r="G2" s="99"/>
      <c r="H2" s="99"/>
      <c r="I2" s="99"/>
      <c r="J2" s="99"/>
      <c r="K2" s="87"/>
      <c r="L2" s="87"/>
    </row>
    <row r="3" spans="1:28" x14ac:dyDescent="0.25">
      <c r="C3" s="2"/>
      <c r="D3" s="87" t="s">
        <v>89</v>
      </c>
      <c r="E3" s="99"/>
      <c r="F3" s="99"/>
      <c r="G3" s="99"/>
      <c r="H3" s="99"/>
      <c r="I3" s="99"/>
      <c r="J3" s="99"/>
      <c r="K3" s="87"/>
      <c r="L3" s="87"/>
    </row>
    <row r="4" spans="1:28" x14ac:dyDescent="0.25">
      <c r="C4" s="52"/>
      <c r="D4" s="87" t="s">
        <v>90</v>
      </c>
      <c r="E4" s="99"/>
      <c r="F4" s="99"/>
      <c r="G4" s="99"/>
      <c r="H4" s="99"/>
      <c r="I4" s="99"/>
      <c r="J4" s="99"/>
      <c r="K4" s="87"/>
      <c r="L4" s="87"/>
    </row>
    <row r="5" spans="1:28" x14ac:dyDescent="0.25">
      <c r="X5" s="54" t="s">
        <v>0</v>
      </c>
      <c r="Y5" s="92" t="s">
        <v>1</v>
      </c>
      <c r="Z5" s="93"/>
    </row>
    <row r="6" spans="1:28" x14ac:dyDescent="0.25">
      <c r="A6" s="8"/>
      <c r="B6" s="97" t="s">
        <v>84</v>
      </c>
      <c r="C6" s="98"/>
      <c r="D6" s="98"/>
      <c r="E6" s="98"/>
      <c r="F6" s="98"/>
      <c r="G6" s="98"/>
      <c r="H6" s="98"/>
      <c r="I6" s="98"/>
      <c r="J6" s="98"/>
      <c r="K6" s="87"/>
      <c r="L6" s="94" t="s">
        <v>0</v>
      </c>
      <c r="M6" s="94"/>
      <c r="N6" s="95" t="s">
        <v>1</v>
      </c>
      <c r="O6" s="95"/>
      <c r="P6" s="96"/>
      <c r="R6" s="87" t="s">
        <v>98</v>
      </c>
      <c r="S6" s="87"/>
      <c r="T6" s="87"/>
      <c r="U6" s="87"/>
      <c r="V6" s="87"/>
      <c r="W6" s="111"/>
      <c r="X6" s="54" t="s">
        <v>18</v>
      </c>
      <c r="Y6" s="110">
        <v>2000</v>
      </c>
      <c r="Z6" s="110"/>
      <c r="AA6" s="1">
        <f>1/(Y6/D28)</f>
        <v>30.101500000000001</v>
      </c>
      <c r="AB6" t="s">
        <v>99</v>
      </c>
    </row>
    <row r="7" spans="1:28" x14ac:dyDescent="0.25">
      <c r="A7" s="112" t="s">
        <v>57</v>
      </c>
      <c r="B7" s="98" t="s">
        <v>2</v>
      </c>
      <c r="C7" s="98"/>
      <c r="D7" s="98"/>
      <c r="E7" s="98"/>
      <c r="F7" s="98"/>
      <c r="G7" s="98"/>
      <c r="H7" s="98"/>
      <c r="I7" s="98"/>
      <c r="J7" s="98"/>
      <c r="K7" s="98"/>
      <c r="L7" s="94" t="s">
        <v>3</v>
      </c>
      <c r="M7" s="98"/>
      <c r="N7" s="153">
        <v>60.203000000000003</v>
      </c>
      <c r="O7" s="154"/>
      <c r="P7" s="155"/>
      <c r="R7" s="87" t="s">
        <v>75</v>
      </c>
      <c r="S7" s="87"/>
      <c r="T7" s="87"/>
      <c r="U7" s="87"/>
      <c r="V7" s="87"/>
      <c r="W7" s="111"/>
      <c r="X7" s="21" t="s">
        <v>76</v>
      </c>
      <c r="Y7" s="137"/>
      <c r="Z7" s="138"/>
    </row>
    <row r="8" spans="1:28" x14ac:dyDescent="0.25">
      <c r="A8" s="113"/>
      <c r="B8" s="98" t="s">
        <v>4</v>
      </c>
      <c r="C8" s="98"/>
      <c r="D8" s="98"/>
      <c r="E8" s="98"/>
      <c r="F8" s="98"/>
      <c r="G8" s="98"/>
      <c r="H8" s="98"/>
      <c r="I8" s="98"/>
      <c r="J8" s="98"/>
      <c r="K8" s="98"/>
      <c r="L8" s="94" t="s">
        <v>5</v>
      </c>
      <c r="M8" s="98"/>
      <c r="N8" s="102">
        <v>10</v>
      </c>
      <c r="O8" s="102"/>
      <c r="P8" s="103"/>
      <c r="R8" s="87" t="s">
        <v>69</v>
      </c>
      <c r="S8" s="87"/>
      <c r="T8" s="87"/>
      <c r="U8" s="87"/>
      <c r="V8" s="87"/>
      <c r="W8" s="111"/>
      <c r="X8" s="21" t="s">
        <v>5</v>
      </c>
      <c r="Y8" s="137"/>
      <c r="Z8" s="138"/>
    </row>
    <row r="9" spans="1:28" x14ac:dyDescent="0.25">
      <c r="A9" s="113"/>
      <c r="B9" s="98" t="s">
        <v>6</v>
      </c>
      <c r="C9" s="98"/>
      <c r="D9" s="98"/>
      <c r="E9" s="98"/>
      <c r="F9" s="98"/>
      <c r="G9" s="98"/>
      <c r="H9" s="98"/>
      <c r="I9" s="98"/>
      <c r="J9" s="98"/>
      <c r="K9" s="98"/>
      <c r="L9" s="94" t="s">
        <v>7</v>
      </c>
      <c r="M9" s="98"/>
      <c r="N9" s="102">
        <v>6</v>
      </c>
      <c r="O9" s="102"/>
      <c r="P9" s="103"/>
      <c r="R9" s="87" t="s">
        <v>70</v>
      </c>
      <c r="S9" s="87"/>
      <c r="T9" s="87"/>
      <c r="U9" s="87"/>
      <c r="V9" s="87"/>
      <c r="W9" s="111"/>
      <c r="X9" s="21" t="s">
        <v>5</v>
      </c>
      <c r="Y9" s="137"/>
      <c r="Z9" s="138"/>
    </row>
    <row r="10" spans="1:28" x14ac:dyDescent="0.25">
      <c r="A10" s="113"/>
      <c r="B10" s="98" t="s">
        <v>46</v>
      </c>
      <c r="C10" s="98"/>
      <c r="D10" s="98"/>
      <c r="E10" s="98"/>
      <c r="F10" s="98"/>
      <c r="G10" s="98"/>
      <c r="H10" s="98"/>
      <c r="I10" s="98"/>
      <c r="J10" s="98"/>
      <c r="K10" s="98"/>
      <c r="L10" s="94" t="s">
        <v>8</v>
      </c>
      <c r="M10" s="98"/>
      <c r="N10" s="102">
        <v>1000</v>
      </c>
      <c r="O10" s="102"/>
      <c r="P10" s="103"/>
      <c r="R10" s="87" t="s">
        <v>71</v>
      </c>
      <c r="S10" s="87"/>
      <c r="T10" s="87"/>
      <c r="U10" s="87"/>
      <c r="V10" s="87"/>
      <c r="W10" s="111"/>
      <c r="X10" s="21" t="s">
        <v>5</v>
      </c>
      <c r="Y10" s="137"/>
      <c r="Z10" s="138"/>
    </row>
    <row r="11" spans="1:28" ht="15.75" thickBot="1" x14ac:dyDescent="0.3">
      <c r="A11" s="114"/>
      <c r="B11" s="115" t="s">
        <v>68</v>
      </c>
      <c r="C11" s="115"/>
      <c r="D11" s="115"/>
      <c r="E11" s="115"/>
      <c r="F11" s="115"/>
      <c r="G11" s="115"/>
      <c r="H11" s="115"/>
      <c r="I11" s="115"/>
      <c r="J11" s="115"/>
      <c r="K11" s="115"/>
      <c r="L11" s="94" t="s">
        <v>9</v>
      </c>
      <c r="M11" s="98"/>
      <c r="N11" s="102">
        <v>82</v>
      </c>
      <c r="O11" s="102"/>
      <c r="P11" s="103"/>
      <c r="R11" s="87" t="s">
        <v>72</v>
      </c>
      <c r="S11" s="87"/>
      <c r="T11" s="87"/>
      <c r="U11" s="87"/>
      <c r="V11" s="87"/>
      <c r="W11" s="111"/>
      <c r="X11" s="21" t="s">
        <v>5</v>
      </c>
      <c r="Y11" s="137"/>
      <c r="Z11" s="138"/>
    </row>
    <row r="12" spans="1:28" ht="15.75" thickTop="1" x14ac:dyDescent="0.25">
      <c r="B12" s="116" t="s">
        <v>74</v>
      </c>
      <c r="C12" s="117"/>
      <c r="D12" s="117"/>
      <c r="E12" s="117"/>
      <c r="F12" s="117"/>
      <c r="G12" s="117"/>
      <c r="H12" s="117"/>
      <c r="I12" s="117"/>
      <c r="J12" s="117"/>
      <c r="K12" s="118"/>
      <c r="L12" s="142" t="s">
        <v>73</v>
      </c>
      <c r="M12" s="143"/>
      <c r="N12" s="144" t="s">
        <v>97</v>
      </c>
      <c r="O12" s="145"/>
      <c r="P12" s="146"/>
    </row>
    <row r="14" spans="1:28" x14ac:dyDescent="0.25">
      <c r="A14" s="122" t="s">
        <v>47</v>
      </c>
      <c r="B14" s="123"/>
      <c r="C14" s="123"/>
      <c r="D14" s="123"/>
      <c r="E14" s="123"/>
      <c r="F14" s="123"/>
      <c r="G14" s="123"/>
      <c r="H14" s="123"/>
      <c r="I14" s="123"/>
      <c r="J14" s="123"/>
      <c r="K14" s="123"/>
      <c r="L14" s="123"/>
      <c r="M14" s="123"/>
      <c r="N14" s="123"/>
      <c r="O14" s="123"/>
      <c r="P14" s="123"/>
      <c r="Q14" s="124"/>
    </row>
    <row r="15" spans="1:28" ht="14.45" customHeight="1" x14ac:dyDescent="0.25">
      <c r="A15" s="109"/>
      <c r="B15" s="60"/>
      <c r="C15" s="119" t="s">
        <v>65</v>
      </c>
      <c r="D15" s="120" t="s">
        <v>63</v>
      </c>
      <c r="E15" s="87"/>
      <c r="F15" s="87"/>
      <c r="G15" s="87"/>
      <c r="H15" s="87"/>
      <c r="I15" s="87"/>
      <c r="J15" s="87"/>
      <c r="K15" s="125" t="s">
        <v>64</v>
      </c>
      <c r="L15" s="69"/>
      <c r="M15" s="69"/>
      <c r="N15" s="69"/>
      <c r="O15" s="69"/>
      <c r="P15" s="126"/>
      <c r="Q15" s="99"/>
    </row>
    <row r="16" spans="1:28" x14ac:dyDescent="0.25">
      <c r="A16" s="60"/>
      <c r="B16" s="60"/>
      <c r="C16" s="119"/>
      <c r="D16" s="87"/>
      <c r="E16" s="87"/>
      <c r="F16" s="87"/>
      <c r="G16" s="87"/>
      <c r="H16" s="87"/>
      <c r="I16" s="87"/>
      <c r="J16" s="87"/>
      <c r="K16" s="127"/>
      <c r="L16" s="75"/>
      <c r="M16" s="75"/>
      <c r="N16" s="75"/>
      <c r="O16" s="75"/>
      <c r="P16" s="128"/>
      <c r="Q16" s="99"/>
    </row>
    <row r="17" spans="1:17" ht="75" customHeight="1" x14ac:dyDescent="0.25">
      <c r="A17" s="104" t="s">
        <v>79</v>
      </c>
      <c r="B17" s="27" t="s">
        <v>10</v>
      </c>
      <c r="C17" s="27" t="s">
        <v>77</v>
      </c>
      <c r="D17" s="27" t="s">
        <v>61</v>
      </c>
      <c r="E17" s="27" t="s">
        <v>21</v>
      </c>
      <c r="F17" s="108" t="s">
        <v>11</v>
      </c>
      <c r="G17" s="108"/>
      <c r="H17" s="27" t="s">
        <v>12</v>
      </c>
      <c r="I17" s="27" t="s">
        <v>13</v>
      </c>
      <c r="J17" s="27" t="s">
        <v>62</v>
      </c>
      <c r="K17" s="27" t="s">
        <v>26</v>
      </c>
      <c r="L17" s="27" t="s">
        <v>27</v>
      </c>
      <c r="M17" s="27" t="s">
        <v>22</v>
      </c>
      <c r="N17" s="27" t="s">
        <v>28</v>
      </c>
      <c r="O17" s="27" t="s">
        <v>30</v>
      </c>
      <c r="P17" s="27" t="s">
        <v>29</v>
      </c>
      <c r="Q17" s="18" t="s">
        <v>24</v>
      </c>
    </row>
    <row r="18" spans="1:17" ht="30" x14ac:dyDescent="0.25">
      <c r="A18" s="121"/>
      <c r="B18" s="25" t="s">
        <v>14</v>
      </c>
      <c r="C18" s="25" t="s">
        <v>18</v>
      </c>
      <c r="D18" s="25" t="s">
        <v>18</v>
      </c>
      <c r="E18" s="25" t="s">
        <v>15</v>
      </c>
      <c r="F18" s="34" t="s">
        <v>16</v>
      </c>
      <c r="G18" s="25" t="s">
        <v>17</v>
      </c>
      <c r="H18" s="25" t="s">
        <v>5</v>
      </c>
      <c r="I18" s="25" t="s">
        <v>19</v>
      </c>
      <c r="J18" s="25" t="s">
        <v>20</v>
      </c>
      <c r="K18" s="25" t="s">
        <v>23</v>
      </c>
      <c r="L18" s="25" t="s">
        <v>23</v>
      </c>
      <c r="M18" s="25" t="s">
        <v>15</v>
      </c>
      <c r="N18" s="25" t="s">
        <v>23</v>
      </c>
      <c r="O18" s="25" t="s">
        <v>23</v>
      </c>
      <c r="P18" s="25" t="s">
        <v>23</v>
      </c>
      <c r="Q18" s="35" t="s">
        <v>25</v>
      </c>
    </row>
    <row r="19" spans="1:17" ht="14.45" customHeight="1" x14ac:dyDescent="0.25">
      <c r="A19" s="121"/>
      <c r="B19" s="29">
        <v>1</v>
      </c>
      <c r="C19" s="9">
        <v>6250</v>
      </c>
      <c r="D19" s="9">
        <f>((N$7*1000000)/N$10)/N$9</f>
        <v>10033.833333333334</v>
      </c>
      <c r="E19" s="10">
        <f t="shared" ref="E19:E28" si="0">IF(N$12="M",((C19/((N$7*1000000)/N$10))*100),(D19/((N$7*1000000)/N$10))*100)</f>
        <v>16.666666666666668</v>
      </c>
      <c r="F19" s="30">
        <f t="shared" ref="F19:F28" si="1">IF(N$12="M",((C19*N$10)/1000000),((D19*N$10)/1000000))</f>
        <v>10.033833333333334</v>
      </c>
      <c r="G19" s="10">
        <f>F19*0.2928</f>
        <v>2.9379064000000001</v>
      </c>
      <c r="H19" s="10">
        <f t="shared" ref="H19:H28" si="2">IF(N$12="M",(N$8*((C19/(N$7*1000000/N$10))^2)), (N$8*((D19/(N$7*1000000/N$10))^2)))</f>
        <v>0.27777777777777785</v>
      </c>
      <c r="I19" s="10">
        <f t="shared" ref="I19:I28" si="3">(F19/0.033475)*(N$11/100)</f>
        <v>245.78770226537216</v>
      </c>
      <c r="J19" s="10">
        <f>(33475*I19)/(1189.6-198.9)</f>
        <v>8304.9796440227456</v>
      </c>
      <c r="K19" s="7"/>
      <c r="L19" s="7"/>
      <c r="M19" s="7"/>
      <c r="N19" s="7"/>
      <c r="O19" s="7"/>
      <c r="P19" s="7"/>
      <c r="Q19" s="10">
        <f>F35+2</f>
        <v>2</v>
      </c>
    </row>
    <row r="20" spans="1:17" x14ac:dyDescent="0.25">
      <c r="A20" s="121"/>
      <c r="B20" s="29">
        <v>2</v>
      </c>
      <c r="C20" s="9">
        <v>8333.3333333333339</v>
      </c>
      <c r="D20" s="9">
        <f t="shared" ref="D20:D28" si="4">(((((N$7*1000000)/N$10)) -D$19)/9)+D19</f>
        <v>15608.185185185186</v>
      </c>
      <c r="E20" s="10">
        <f t="shared" si="0"/>
        <v>25.925925925925931</v>
      </c>
      <c r="F20" s="30">
        <f t="shared" si="1"/>
        <v>15.608185185185187</v>
      </c>
      <c r="G20" s="10">
        <f t="shared" ref="G20:G28" si="5">F20*0.2928</f>
        <v>4.5700766222222224</v>
      </c>
      <c r="H20" s="10">
        <f t="shared" si="2"/>
        <v>0.6721536351165982</v>
      </c>
      <c r="I20" s="10">
        <f t="shared" si="3"/>
        <v>382.33642574613452</v>
      </c>
      <c r="J20" s="10">
        <f t="shared" ref="J20:J28" si="6">(33475*I20)/(1189.6-198.9)</f>
        <v>12918.857224035382</v>
      </c>
      <c r="K20" s="7"/>
      <c r="L20" s="7"/>
      <c r="M20" s="7"/>
      <c r="N20" s="7"/>
      <c r="O20" s="7"/>
      <c r="P20" s="7"/>
      <c r="Q20" s="10">
        <f t="shared" ref="Q20:Q28" si="7">F36+2</f>
        <v>2</v>
      </c>
    </row>
    <row r="21" spans="1:17" x14ac:dyDescent="0.25">
      <c r="A21" s="121"/>
      <c r="B21" s="29">
        <v>3</v>
      </c>
      <c r="C21" s="9">
        <v>10416.666666666668</v>
      </c>
      <c r="D21" s="9">
        <f t="shared" si="4"/>
        <v>21182.537037037036</v>
      </c>
      <c r="E21" s="10">
        <f t="shared" si="0"/>
        <v>35.185185185185183</v>
      </c>
      <c r="F21" s="30">
        <f t="shared" si="1"/>
        <v>21.182537037037036</v>
      </c>
      <c r="G21" s="10">
        <f t="shared" si="5"/>
        <v>6.2022468444444447</v>
      </c>
      <c r="H21" s="10">
        <f t="shared" si="2"/>
        <v>1.2379972565157751</v>
      </c>
      <c r="I21" s="10">
        <f t="shared" si="3"/>
        <v>518.88514922689671</v>
      </c>
      <c r="J21" s="10">
        <f t="shared" si="6"/>
        <v>17532.734804048014</v>
      </c>
      <c r="K21" s="7"/>
      <c r="L21" s="7"/>
      <c r="M21" s="7"/>
      <c r="N21" s="7"/>
      <c r="O21" s="7"/>
      <c r="P21" s="7"/>
      <c r="Q21" s="10">
        <f t="shared" si="7"/>
        <v>2</v>
      </c>
    </row>
    <row r="22" spans="1:17" x14ac:dyDescent="0.25">
      <c r="A22" s="121"/>
      <c r="B22" s="29">
        <v>4</v>
      </c>
      <c r="C22" s="9">
        <v>12000</v>
      </c>
      <c r="D22" s="9">
        <f t="shared" si="4"/>
        <v>26756.888888888887</v>
      </c>
      <c r="E22" s="10">
        <f t="shared" si="0"/>
        <v>44.444444444444443</v>
      </c>
      <c r="F22" s="30">
        <f t="shared" si="1"/>
        <v>26.756888888888888</v>
      </c>
      <c r="G22" s="10">
        <f t="shared" si="5"/>
        <v>7.8344170666666662</v>
      </c>
      <c r="H22" s="10">
        <f t="shared" si="2"/>
        <v>1.9753086419753085</v>
      </c>
      <c r="I22" s="10">
        <f t="shared" si="3"/>
        <v>655.43387270765913</v>
      </c>
      <c r="J22" s="10">
        <f t="shared" si="6"/>
        <v>22146.612384060652</v>
      </c>
      <c r="K22" s="7"/>
      <c r="L22" s="7"/>
      <c r="M22" s="7"/>
      <c r="N22" s="7"/>
      <c r="O22" s="7"/>
      <c r="P22" s="7"/>
      <c r="Q22" s="10">
        <f t="shared" si="7"/>
        <v>2</v>
      </c>
    </row>
    <row r="23" spans="1:17" x14ac:dyDescent="0.25">
      <c r="A23" s="121"/>
      <c r="B23" s="29">
        <v>5</v>
      </c>
      <c r="C23" s="9">
        <v>15645</v>
      </c>
      <c r="D23" s="9">
        <f t="shared" si="4"/>
        <v>32331.240740740737</v>
      </c>
      <c r="E23" s="10">
        <f t="shared" si="0"/>
        <v>53.703703703703695</v>
      </c>
      <c r="F23" s="30">
        <f t="shared" si="1"/>
        <v>32.331240740740739</v>
      </c>
      <c r="G23" s="10">
        <f t="shared" si="5"/>
        <v>9.4665872888888885</v>
      </c>
      <c r="H23" s="10">
        <f t="shared" si="2"/>
        <v>2.8840877914951983</v>
      </c>
      <c r="I23" s="10">
        <f t="shared" si="3"/>
        <v>791.98259618842144</v>
      </c>
      <c r="J23" s="10">
        <f t="shared" si="6"/>
        <v>26760.489964073291</v>
      </c>
      <c r="K23" s="7"/>
      <c r="L23" s="7"/>
      <c r="M23" s="7"/>
      <c r="N23" s="7"/>
      <c r="O23" s="7"/>
      <c r="P23" s="7"/>
      <c r="Q23" s="10">
        <f t="shared" si="7"/>
        <v>2</v>
      </c>
    </row>
    <row r="24" spans="1:17" x14ac:dyDescent="0.25">
      <c r="A24" s="121"/>
      <c r="B24" s="29">
        <v>6</v>
      </c>
      <c r="C24" s="9">
        <v>16666.666666666668</v>
      </c>
      <c r="D24" s="9">
        <f t="shared" si="4"/>
        <v>37905.592592592591</v>
      </c>
      <c r="E24" s="10">
        <f t="shared" si="0"/>
        <v>62.962962962962962</v>
      </c>
      <c r="F24" s="30">
        <f t="shared" si="1"/>
        <v>37.905592592592591</v>
      </c>
      <c r="G24" s="10">
        <f t="shared" si="5"/>
        <v>11.09875751111111</v>
      </c>
      <c r="H24" s="10">
        <f t="shared" si="2"/>
        <v>3.9643347050754461</v>
      </c>
      <c r="I24" s="10">
        <f t="shared" si="3"/>
        <v>928.53131966918374</v>
      </c>
      <c r="J24" s="10">
        <f t="shared" si="6"/>
        <v>31374.367544085926</v>
      </c>
      <c r="K24" s="7"/>
      <c r="L24" s="7"/>
      <c r="M24" s="7"/>
      <c r="N24" s="7"/>
      <c r="O24" s="7"/>
      <c r="P24" s="7"/>
      <c r="Q24" s="10">
        <f t="shared" si="7"/>
        <v>2</v>
      </c>
    </row>
    <row r="25" spans="1:17" x14ac:dyDescent="0.25">
      <c r="A25" s="121"/>
      <c r="B25" s="29">
        <v>7</v>
      </c>
      <c r="C25" s="9">
        <v>17340</v>
      </c>
      <c r="D25" s="9">
        <f t="shared" si="4"/>
        <v>43479.944444444445</v>
      </c>
      <c r="E25" s="10">
        <f t="shared" si="0"/>
        <v>72.222222222222214</v>
      </c>
      <c r="F25" s="30">
        <f t="shared" si="1"/>
        <v>43.479944444444449</v>
      </c>
      <c r="G25" s="10">
        <f t="shared" si="5"/>
        <v>12.730927733333335</v>
      </c>
      <c r="H25" s="10">
        <f t="shared" si="2"/>
        <v>5.216049382716049</v>
      </c>
      <c r="I25" s="10">
        <f t="shared" si="3"/>
        <v>1065.0800431499461</v>
      </c>
      <c r="J25" s="10">
        <f t="shared" si="6"/>
        <v>35988.245124098561</v>
      </c>
      <c r="K25" s="7"/>
      <c r="L25" s="7"/>
      <c r="M25" s="7"/>
      <c r="N25" s="7"/>
      <c r="O25" s="7"/>
      <c r="P25" s="7"/>
      <c r="Q25" s="10">
        <f t="shared" si="7"/>
        <v>2</v>
      </c>
    </row>
    <row r="26" spans="1:17" x14ac:dyDescent="0.25">
      <c r="A26" s="121"/>
      <c r="B26" s="29">
        <v>8</v>
      </c>
      <c r="C26" s="9">
        <v>20833.333333333332</v>
      </c>
      <c r="D26" s="9">
        <f t="shared" si="4"/>
        <v>49054.296296296299</v>
      </c>
      <c r="E26" s="10">
        <f t="shared" si="0"/>
        <v>81.481481481481495</v>
      </c>
      <c r="F26" s="30">
        <f t="shared" si="1"/>
        <v>49.0542962962963</v>
      </c>
      <c r="G26" s="10">
        <f t="shared" si="5"/>
        <v>14.363097955555556</v>
      </c>
      <c r="H26" s="10">
        <f t="shared" si="2"/>
        <v>6.6392318244170117</v>
      </c>
      <c r="I26" s="10">
        <f t="shared" si="3"/>
        <v>1201.6287666307085</v>
      </c>
      <c r="J26" s="10">
        <f t="shared" si="6"/>
        <v>40602.1227041112</v>
      </c>
      <c r="K26" s="7"/>
      <c r="L26" s="7"/>
      <c r="M26" s="7"/>
      <c r="N26" s="7"/>
      <c r="O26" s="7"/>
      <c r="P26" s="7"/>
      <c r="Q26" s="10">
        <f t="shared" si="7"/>
        <v>2</v>
      </c>
    </row>
    <row r="27" spans="1:17" x14ac:dyDescent="0.25">
      <c r="A27" s="121"/>
      <c r="B27" s="29">
        <v>9</v>
      </c>
      <c r="C27" s="9">
        <v>22916.666666666664</v>
      </c>
      <c r="D27" s="9">
        <f t="shared" si="4"/>
        <v>54628.648148148153</v>
      </c>
      <c r="E27" s="10">
        <f t="shared" si="0"/>
        <v>90.740740740740748</v>
      </c>
      <c r="F27" s="30">
        <f t="shared" si="1"/>
        <v>54.628648148148159</v>
      </c>
      <c r="G27" s="10">
        <f t="shared" si="5"/>
        <v>15.995268177777781</v>
      </c>
      <c r="H27" s="10">
        <f t="shared" si="2"/>
        <v>8.2338820301783269</v>
      </c>
      <c r="I27" s="10">
        <f t="shared" si="3"/>
        <v>1338.1774901114709</v>
      </c>
      <c r="J27" s="10">
        <f t="shared" si="6"/>
        <v>45216.000284123838</v>
      </c>
      <c r="K27" s="7"/>
      <c r="L27" s="7"/>
      <c r="M27" s="7"/>
      <c r="N27" s="7"/>
      <c r="O27" s="7"/>
      <c r="P27" s="7"/>
      <c r="Q27" s="10">
        <f t="shared" si="7"/>
        <v>2</v>
      </c>
    </row>
    <row r="28" spans="1:17" x14ac:dyDescent="0.25">
      <c r="A28" s="121"/>
      <c r="B28" s="29">
        <v>10</v>
      </c>
      <c r="C28" s="9">
        <v>23000</v>
      </c>
      <c r="D28" s="9">
        <f t="shared" si="4"/>
        <v>60203.000000000007</v>
      </c>
      <c r="E28" s="10">
        <f t="shared" si="0"/>
        <v>100.00000000000003</v>
      </c>
      <c r="F28" s="30">
        <f t="shared" si="1"/>
        <v>60.20300000000001</v>
      </c>
      <c r="G28" s="10">
        <f t="shared" si="5"/>
        <v>17.627438400000003</v>
      </c>
      <c r="H28" s="10">
        <f t="shared" si="2"/>
        <v>10.000000000000004</v>
      </c>
      <c r="I28" s="10">
        <f t="shared" si="3"/>
        <v>1474.7262135922333</v>
      </c>
      <c r="J28" s="10">
        <f t="shared" si="6"/>
        <v>49829.877864136477</v>
      </c>
      <c r="K28" s="7"/>
      <c r="L28" s="7"/>
      <c r="M28" s="7"/>
      <c r="N28" s="7"/>
      <c r="O28" s="7"/>
      <c r="P28" s="7"/>
      <c r="Q28" s="10">
        <f t="shared" si="7"/>
        <v>2</v>
      </c>
    </row>
    <row r="29" spans="1:17" ht="21.6" customHeight="1" x14ac:dyDescent="0.25"/>
    <row r="30" spans="1:17" ht="16.149999999999999" customHeight="1" x14ac:dyDescent="0.25">
      <c r="A30" s="92" t="s">
        <v>56</v>
      </c>
      <c r="B30" s="92"/>
      <c r="C30" s="92"/>
      <c r="D30" s="92"/>
      <c r="E30" s="92"/>
      <c r="F30" s="92"/>
      <c r="G30" s="92"/>
      <c r="H30" s="92"/>
      <c r="I30" s="92"/>
      <c r="J30" s="92"/>
      <c r="K30" s="92"/>
      <c r="L30" s="92"/>
      <c r="M30" s="92"/>
      <c r="N30" s="92"/>
      <c r="O30" s="92"/>
      <c r="P30" s="92"/>
    </row>
    <row r="31" spans="1:17" ht="21" customHeight="1" x14ac:dyDescent="0.25">
      <c r="A31" s="147" t="s">
        <v>55</v>
      </c>
      <c r="B31" s="148"/>
      <c r="C31" s="149"/>
      <c r="D31" s="147" t="s">
        <v>54</v>
      </c>
      <c r="E31" s="149"/>
      <c r="F31" s="147" t="s">
        <v>87</v>
      </c>
      <c r="G31" s="149"/>
      <c r="H31" s="129" t="s">
        <v>49</v>
      </c>
      <c r="I31" s="130"/>
      <c r="J31" s="130"/>
      <c r="K31" s="129" t="s">
        <v>100</v>
      </c>
      <c r="L31" s="130"/>
      <c r="M31" s="130"/>
      <c r="N31" s="156" t="s">
        <v>31</v>
      </c>
      <c r="O31" s="157"/>
      <c r="P31" s="157"/>
    </row>
    <row r="32" spans="1:17" ht="21" customHeight="1" x14ac:dyDescent="0.25">
      <c r="A32" s="150"/>
      <c r="B32" s="151"/>
      <c r="C32" s="152"/>
      <c r="D32" s="150"/>
      <c r="E32" s="152"/>
      <c r="F32" s="150"/>
      <c r="G32" s="152"/>
      <c r="H32" s="130"/>
      <c r="I32" s="130"/>
      <c r="J32" s="130"/>
      <c r="K32" s="130"/>
      <c r="L32" s="130"/>
      <c r="M32" s="130"/>
      <c r="N32" s="157"/>
      <c r="O32" s="157"/>
      <c r="P32" s="157"/>
    </row>
    <row r="33" spans="1:22" ht="70.900000000000006" customHeight="1" x14ac:dyDescent="0.25">
      <c r="A33" s="106" t="s">
        <v>58</v>
      </c>
      <c r="B33" s="22" t="s">
        <v>10</v>
      </c>
      <c r="C33" s="22" t="s">
        <v>21</v>
      </c>
      <c r="D33" s="135" t="s">
        <v>53</v>
      </c>
      <c r="E33" s="136"/>
      <c r="F33" s="48" t="s">
        <v>92</v>
      </c>
      <c r="G33" s="48" t="s">
        <v>91</v>
      </c>
      <c r="H33" s="11" t="s">
        <v>93</v>
      </c>
      <c r="I33" s="11" t="s">
        <v>50</v>
      </c>
      <c r="J33" s="11" t="s">
        <v>51</v>
      </c>
      <c r="K33" s="11" t="s">
        <v>32</v>
      </c>
      <c r="L33" s="11" t="s">
        <v>33</v>
      </c>
      <c r="M33" s="11" t="s">
        <v>34</v>
      </c>
      <c r="N33" s="11" t="s">
        <v>32</v>
      </c>
      <c r="O33" s="11" t="s">
        <v>33</v>
      </c>
      <c r="P33" s="11" t="s">
        <v>34</v>
      </c>
    </row>
    <row r="34" spans="1:22" ht="25.9" customHeight="1" x14ac:dyDescent="0.25">
      <c r="A34" s="107"/>
      <c r="B34" s="25" t="s">
        <v>14</v>
      </c>
      <c r="C34" s="25" t="s">
        <v>15</v>
      </c>
      <c r="D34" s="133" t="s">
        <v>25</v>
      </c>
      <c r="E34" s="136"/>
      <c r="F34" s="133" t="s">
        <v>25</v>
      </c>
      <c r="G34" s="134"/>
      <c r="H34" s="133" t="s">
        <v>25</v>
      </c>
      <c r="I34" s="134"/>
      <c r="J34" s="23" t="s">
        <v>15</v>
      </c>
      <c r="K34" s="23" t="s">
        <v>15</v>
      </c>
      <c r="L34" s="23" t="s">
        <v>35</v>
      </c>
      <c r="M34" s="23" t="s">
        <v>35</v>
      </c>
      <c r="N34" s="23" t="s">
        <v>15</v>
      </c>
      <c r="O34" s="23" t="s">
        <v>35</v>
      </c>
      <c r="P34" s="23" t="s">
        <v>35</v>
      </c>
    </row>
    <row r="35" spans="1:22" x14ac:dyDescent="0.25">
      <c r="A35" s="107"/>
      <c r="B35" s="24">
        <v>1</v>
      </c>
      <c r="C35" s="10">
        <f>E19</f>
        <v>16.666666666666668</v>
      </c>
      <c r="D35" s="12" t="s">
        <v>44</v>
      </c>
      <c r="E35" s="12" t="s">
        <v>45</v>
      </c>
      <c r="F35" s="13"/>
      <c r="G35" s="15"/>
      <c r="H35" s="139" t="s">
        <v>52</v>
      </c>
      <c r="I35" s="140"/>
      <c r="J35" s="141"/>
      <c r="K35" s="139" t="s">
        <v>52</v>
      </c>
      <c r="L35" s="140"/>
      <c r="M35" s="141"/>
      <c r="N35" s="139" t="s">
        <v>52</v>
      </c>
      <c r="O35" s="140"/>
      <c r="P35" s="141"/>
    </row>
    <row r="36" spans="1:22" x14ac:dyDescent="0.25">
      <c r="A36" s="107"/>
      <c r="B36" s="24">
        <v>2</v>
      </c>
      <c r="C36" s="10">
        <f t="shared" ref="C36:C44" si="8">E20</f>
        <v>25.925925925925931</v>
      </c>
      <c r="D36" s="14">
        <f>Q20-1</f>
        <v>1</v>
      </c>
      <c r="E36" s="14">
        <f>F36+0.5</f>
        <v>0.5</v>
      </c>
      <c r="F36" s="13"/>
      <c r="G36" s="15"/>
      <c r="H36" s="51"/>
      <c r="I36" s="51"/>
      <c r="J36" s="51"/>
      <c r="K36" s="50"/>
      <c r="L36" s="50"/>
      <c r="M36" s="50"/>
      <c r="N36" s="50"/>
      <c r="O36" s="50"/>
      <c r="P36" s="50"/>
    </row>
    <row r="37" spans="1:22" x14ac:dyDescent="0.25">
      <c r="A37" s="107"/>
      <c r="B37" s="24">
        <v>3</v>
      </c>
      <c r="C37" s="10">
        <f t="shared" si="8"/>
        <v>35.185185185185183</v>
      </c>
      <c r="D37" s="14">
        <f t="shared" ref="D37:D44" si="9">Q21-1</f>
        <v>1</v>
      </c>
      <c r="E37" s="14">
        <f t="shared" ref="E37:E44" si="10">F37+0.5</f>
        <v>0.5</v>
      </c>
      <c r="F37" s="13"/>
      <c r="G37" s="15"/>
      <c r="H37" s="51"/>
      <c r="I37" s="51"/>
      <c r="J37" s="51"/>
      <c r="K37" s="50"/>
      <c r="L37" s="50"/>
      <c r="M37" s="50"/>
      <c r="N37" s="50"/>
      <c r="O37" s="50"/>
      <c r="P37" s="50"/>
    </row>
    <row r="38" spans="1:22" x14ac:dyDescent="0.25">
      <c r="A38" s="107"/>
      <c r="B38" s="24">
        <v>4</v>
      </c>
      <c r="C38" s="10">
        <f t="shared" si="8"/>
        <v>44.444444444444443</v>
      </c>
      <c r="D38" s="14">
        <f t="shared" si="9"/>
        <v>1</v>
      </c>
      <c r="E38" s="14">
        <f t="shared" si="10"/>
        <v>0.5</v>
      </c>
      <c r="F38" s="13"/>
      <c r="G38" s="15"/>
      <c r="H38" s="51"/>
      <c r="I38" s="51"/>
      <c r="J38" s="51"/>
      <c r="K38" s="50"/>
      <c r="L38" s="50"/>
      <c r="M38" s="50"/>
      <c r="N38" s="50"/>
      <c r="O38" s="50"/>
      <c r="P38" s="50"/>
    </row>
    <row r="39" spans="1:22" x14ac:dyDescent="0.25">
      <c r="A39" s="107"/>
      <c r="B39" s="24">
        <v>5</v>
      </c>
      <c r="C39" s="10">
        <f t="shared" si="8"/>
        <v>53.703703703703695</v>
      </c>
      <c r="D39" s="14">
        <f t="shared" si="9"/>
        <v>1</v>
      </c>
      <c r="E39" s="14">
        <f t="shared" si="10"/>
        <v>0.5</v>
      </c>
      <c r="F39" s="13"/>
      <c r="G39" s="15"/>
      <c r="H39" s="51"/>
      <c r="I39" s="51"/>
      <c r="J39" s="51"/>
      <c r="K39" s="50"/>
      <c r="L39" s="50"/>
      <c r="M39" s="50"/>
      <c r="N39" s="50"/>
      <c r="O39" s="50"/>
      <c r="P39" s="50"/>
    </row>
    <row r="40" spans="1:22" x14ac:dyDescent="0.25">
      <c r="A40" s="107"/>
      <c r="B40" s="24">
        <v>6</v>
      </c>
      <c r="C40" s="10">
        <f t="shared" si="8"/>
        <v>62.962962962962962</v>
      </c>
      <c r="D40" s="14">
        <f t="shared" si="9"/>
        <v>1</v>
      </c>
      <c r="E40" s="14">
        <f t="shared" si="10"/>
        <v>0.5</v>
      </c>
      <c r="F40" s="13"/>
      <c r="G40" s="15"/>
      <c r="H40" s="51"/>
      <c r="I40" s="51"/>
      <c r="J40" s="51"/>
      <c r="K40" s="50"/>
      <c r="L40" s="50"/>
      <c r="M40" s="50"/>
      <c r="N40" s="50"/>
      <c r="O40" s="50"/>
      <c r="P40" s="50"/>
    </row>
    <row r="41" spans="1:22" x14ac:dyDescent="0.25">
      <c r="A41" s="107"/>
      <c r="B41" s="24">
        <v>7</v>
      </c>
      <c r="C41" s="10">
        <f t="shared" si="8"/>
        <v>72.222222222222214</v>
      </c>
      <c r="D41" s="14">
        <f t="shared" si="9"/>
        <v>1</v>
      </c>
      <c r="E41" s="14">
        <f t="shared" si="10"/>
        <v>0.5</v>
      </c>
      <c r="F41" s="13"/>
      <c r="G41" s="15"/>
      <c r="H41" s="51"/>
      <c r="I41" s="51"/>
      <c r="J41" s="51"/>
      <c r="K41" s="50"/>
      <c r="L41" s="50"/>
      <c r="M41" s="50"/>
      <c r="N41" s="50"/>
      <c r="O41" s="50"/>
      <c r="P41" s="50"/>
    </row>
    <row r="42" spans="1:22" x14ac:dyDescent="0.25">
      <c r="A42" s="107"/>
      <c r="B42" s="24">
        <v>8</v>
      </c>
      <c r="C42" s="10">
        <f t="shared" si="8"/>
        <v>81.481481481481495</v>
      </c>
      <c r="D42" s="14">
        <f t="shared" si="9"/>
        <v>1</v>
      </c>
      <c r="E42" s="14">
        <f t="shared" si="10"/>
        <v>0.5</v>
      </c>
      <c r="F42" s="13"/>
      <c r="G42" s="15"/>
      <c r="H42" s="51"/>
      <c r="I42" s="51"/>
      <c r="J42" s="51"/>
      <c r="K42" s="50"/>
      <c r="L42" s="50"/>
      <c r="M42" s="50"/>
      <c r="N42" s="50"/>
      <c r="O42" s="50"/>
      <c r="P42" s="50"/>
    </row>
    <row r="43" spans="1:22" x14ac:dyDescent="0.25">
      <c r="A43" s="107"/>
      <c r="B43" s="24">
        <v>9</v>
      </c>
      <c r="C43" s="10">
        <f t="shared" si="8"/>
        <v>90.740740740740748</v>
      </c>
      <c r="D43" s="14">
        <f t="shared" si="9"/>
        <v>1</v>
      </c>
      <c r="E43" s="14">
        <f t="shared" si="10"/>
        <v>0.5</v>
      </c>
      <c r="F43" s="13"/>
      <c r="G43" s="15"/>
      <c r="H43" s="51"/>
      <c r="I43" s="51"/>
      <c r="J43" s="51"/>
      <c r="K43" s="50"/>
      <c r="L43" s="50"/>
      <c r="M43" s="50"/>
      <c r="N43" s="50"/>
      <c r="O43" s="50"/>
      <c r="P43" s="50"/>
    </row>
    <row r="44" spans="1:22" x14ac:dyDescent="0.25">
      <c r="A44" s="107"/>
      <c r="B44" s="24">
        <v>10</v>
      </c>
      <c r="C44" s="10">
        <f t="shared" si="8"/>
        <v>100.00000000000003</v>
      </c>
      <c r="D44" s="14">
        <f t="shared" si="9"/>
        <v>1</v>
      </c>
      <c r="E44" s="14">
        <f t="shared" si="10"/>
        <v>0.5</v>
      </c>
      <c r="F44" s="13"/>
      <c r="G44" s="15"/>
      <c r="H44" s="51"/>
      <c r="I44" s="51"/>
      <c r="J44" s="51"/>
      <c r="K44" s="50"/>
      <c r="L44" s="50"/>
      <c r="M44" s="50"/>
      <c r="N44" s="50"/>
      <c r="O44" s="50"/>
      <c r="P44" s="50"/>
    </row>
    <row r="45" spans="1:22" x14ac:dyDescent="0.25">
      <c r="S45" s="4"/>
      <c r="T45" s="4"/>
      <c r="U45" s="4"/>
      <c r="V45" s="4"/>
    </row>
    <row r="46" spans="1:22" ht="22.15" customHeight="1" x14ac:dyDescent="0.25">
      <c r="A46" t="s">
        <v>48</v>
      </c>
      <c r="S46" s="4"/>
      <c r="T46" s="4"/>
      <c r="U46" s="4"/>
      <c r="V46" s="4"/>
    </row>
    <row r="47" spans="1:22" ht="15.75" x14ac:dyDescent="0.25">
      <c r="S47" s="16"/>
      <c r="T47" s="16"/>
      <c r="U47" s="16"/>
      <c r="V47" s="4"/>
    </row>
    <row r="48" spans="1:22" ht="22.15" customHeight="1" x14ac:dyDescent="0.25">
      <c r="A48" s="131" t="s">
        <v>66</v>
      </c>
      <c r="B48" s="131" t="s">
        <v>37</v>
      </c>
      <c r="C48" s="131" t="s">
        <v>38</v>
      </c>
      <c r="D48" s="131" t="s">
        <v>42</v>
      </c>
      <c r="E48" s="131" t="s">
        <v>39</v>
      </c>
      <c r="F48" s="131" t="s">
        <v>78</v>
      </c>
      <c r="Q48" s="16"/>
      <c r="R48" s="16"/>
      <c r="S48" s="16"/>
      <c r="T48" s="4"/>
    </row>
    <row r="49" spans="1:20" ht="22.15" customHeight="1" x14ac:dyDescent="0.25">
      <c r="A49" s="132"/>
      <c r="B49" s="131" t="s">
        <v>40</v>
      </c>
      <c r="C49" s="131" t="s">
        <v>41</v>
      </c>
      <c r="D49" s="131"/>
      <c r="E49" s="131"/>
      <c r="F49" s="131"/>
      <c r="Q49" s="16"/>
      <c r="R49" s="16"/>
      <c r="S49" s="16"/>
      <c r="T49" s="4"/>
    </row>
    <row r="50" spans="1:20" ht="15.75" x14ac:dyDescent="0.25">
      <c r="A50" s="10">
        <f>C36</f>
        <v>25.925925925925931</v>
      </c>
      <c r="B50" s="5">
        <f>1+PRODUCT(H36,(1/(20.9-H36)),(10.93/9.9))</f>
        <v>1.0528248997148519</v>
      </c>
      <c r="C50" s="5">
        <f>1+PRODUCT(I36,(1/(20.9-I36)),(10.93/9.9))</f>
        <v>1.0528248997148519</v>
      </c>
      <c r="D50" s="6">
        <f t="shared" ref="D50:D58" si="11">PRODUCT((C50-B50),(-1/(PRODUCT(B50,J36))),100)</f>
        <v>0</v>
      </c>
      <c r="E50" s="6">
        <f>AVERAGE(D$50:D$58)</f>
        <v>0</v>
      </c>
      <c r="F50" s="20">
        <f>STDEV(D50:D58)</f>
        <v>0</v>
      </c>
      <c r="Q50" s="16"/>
      <c r="R50" s="16"/>
      <c r="S50" s="16"/>
      <c r="T50" s="4"/>
    </row>
    <row r="51" spans="1:20" ht="15.75" x14ac:dyDescent="0.25">
      <c r="A51" s="10">
        <f t="shared" ref="A51:A58" si="12">C37</f>
        <v>35.185185185185183</v>
      </c>
      <c r="B51" s="5">
        <f t="shared" ref="B51:C58" si="13">1+PRODUCT(H37,(1/(20.9-H37)),(10.93/9.9))</f>
        <v>1.0528248997148519</v>
      </c>
      <c r="C51" s="5">
        <f t="shared" si="13"/>
        <v>1.0528248997148519</v>
      </c>
      <c r="D51" s="6">
        <f t="shared" si="11"/>
        <v>0</v>
      </c>
      <c r="E51" s="6">
        <f t="shared" ref="E51:E58" si="14">AVERAGE(D$50:D$58)</f>
        <v>0</v>
      </c>
      <c r="Q51" s="16"/>
      <c r="R51" s="16"/>
      <c r="S51" s="16"/>
      <c r="T51" s="4"/>
    </row>
    <row r="52" spans="1:20" ht="15.75" x14ac:dyDescent="0.25">
      <c r="A52" s="10">
        <f t="shared" si="12"/>
        <v>44.444444444444443</v>
      </c>
      <c r="B52" s="5">
        <f t="shared" si="13"/>
        <v>1.0528248997148519</v>
      </c>
      <c r="C52" s="5">
        <f t="shared" si="13"/>
        <v>1.0528248997148519</v>
      </c>
      <c r="D52" s="6">
        <f t="shared" si="11"/>
        <v>0</v>
      </c>
      <c r="E52" s="6">
        <f t="shared" si="14"/>
        <v>0</v>
      </c>
      <c r="Q52" s="16"/>
      <c r="R52" s="16"/>
      <c r="S52" s="16"/>
      <c r="T52" s="4"/>
    </row>
    <row r="53" spans="1:20" ht="15.75" x14ac:dyDescent="0.25">
      <c r="A53" s="10">
        <f t="shared" si="12"/>
        <v>53.703703703703695</v>
      </c>
      <c r="B53" s="5">
        <f t="shared" si="13"/>
        <v>1.0528248997148519</v>
      </c>
      <c r="C53" s="5">
        <f t="shared" si="13"/>
        <v>1.0528248997148519</v>
      </c>
      <c r="D53" s="6">
        <f t="shared" si="11"/>
        <v>0</v>
      </c>
      <c r="E53" s="6">
        <f t="shared" si="14"/>
        <v>0</v>
      </c>
      <c r="Q53" s="16"/>
      <c r="R53" s="16"/>
      <c r="S53" s="16"/>
      <c r="T53" s="4"/>
    </row>
    <row r="54" spans="1:20" ht="15.75" x14ac:dyDescent="0.25">
      <c r="A54" s="10">
        <f t="shared" si="12"/>
        <v>62.962962962962962</v>
      </c>
      <c r="B54" s="5">
        <f t="shared" si="13"/>
        <v>1.0528248997148519</v>
      </c>
      <c r="C54" s="5">
        <f t="shared" si="13"/>
        <v>1.0528248997148519</v>
      </c>
      <c r="D54" s="6">
        <f t="shared" si="11"/>
        <v>0</v>
      </c>
      <c r="E54" s="6">
        <f t="shared" si="14"/>
        <v>0</v>
      </c>
      <c r="J54" s="4"/>
      <c r="K54" s="4"/>
      <c r="L54" s="4"/>
      <c r="M54" s="4"/>
      <c r="N54" s="4"/>
      <c r="O54" s="4"/>
      <c r="P54" s="4"/>
      <c r="Q54" s="16"/>
      <c r="R54" s="16"/>
      <c r="S54" s="16"/>
      <c r="T54" s="4"/>
    </row>
    <row r="55" spans="1:20" ht="15.75" x14ac:dyDescent="0.25">
      <c r="A55" s="10">
        <f t="shared" si="12"/>
        <v>72.222222222222214</v>
      </c>
      <c r="B55" s="5">
        <f t="shared" si="13"/>
        <v>1.0528248997148519</v>
      </c>
      <c r="C55" s="5">
        <f t="shared" si="13"/>
        <v>1.0528248997148519</v>
      </c>
      <c r="D55" s="6">
        <f t="shared" si="11"/>
        <v>0</v>
      </c>
      <c r="E55" s="6">
        <f t="shared" si="14"/>
        <v>0</v>
      </c>
      <c r="J55" s="4"/>
      <c r="K55" s="17"/>
      <c r="L55" s="17"/>
      <c r="M55" s="17"/>
      <c r="N55" s="4"/>
      <c r="O55" s="16"/>
      <c r="P55" s="16"/>
      <c r="Q55" s="16"/>
      <c r="R55" s="16"/>
      <c r="S55" s="16"/>
      <c r="T55" s="4"/>
    </row>
    <row r="56" spans="1:20" ht="15.75" x14ac:dyDescent="0.25">
      <c r="A56" s="10">
        <f t="shared" si="12"/>
        <v>81.481481481481495</v>
      </c>
      <c r="B56" s="5">
        <f t="shared" si="13"/>
        <v>1.0528248997148519</v>
      </c>
      <c r="C56" s="5">
        <f t="shared" si="13"/>
        <v>1.0528248997148519</v>
      </c>
      <c r="D56" s="6">
        <f t="shared" si="11"/>
        <v>0</v>
      </c>
      <c r="E56" s="6">
        <f t="shared" si="14"/>
        <v>0</v>
      </c>
      <c r="J56" s="4"/>
      <c r="K56" s="17"/>
      <c r="L56" s="17"/>
      <c r="M56" s="17"/>
      <c r="N56" s="4"/>
      <c r="O56" s="16"/>
      <c r="P56" s="16"/>
      <c r="Q56" s="16"/>
      <c r="R56" s="4"/>
      <c r="S56" s="4"/>
      <c r="T56" s="4"/>
    </row>
    <row r="57" spans="1:20" ht="15.75" x14ac:dyDescent="0.25">
      <c r="A57" s="10">
        <f t="shared" si="12"/>
        <v>90.740740740740748</v>
      </c>
      <c r="B57" s="5">
        <f t="shared" si="13"/>
        <v>1.0528248997148519</v>
      </c>
      <c r="C57" s="5">
        <f t="shared" si="13"/>
        <v>1.0528248997148519</v>
      </c>
      <c r="D57" s="6">
        <f t="shared" si="11"/>
        <v>0</v>
      </c>
      <c r="E57" s="6">
        <f t="shared" si="14"/>
        <v>0</v>
      </c>
      <c r="J57" s="4"/>
      <c r="K57" s="17"/>
      <c r="L57" s="17"/>
      <c r="M57" s="17"/>
      <c r="N57" s="4"/>
      <c r="O57" s="16"/>
      <c r="P57" s="16"/>
      <c r="Q57" s="16"/>
      <c r="R57" s="4"/>
      <c r="S57" s="4"/>
      <c r="T57" s="4"/>
    </row>
    <row r="58" spans="1:20" ht="15.75" x14ac:dyDescent="0.25">
      <c r="A58" s="10">
        <f t="shared" si="12"/>
        <v>100.00000000000003</v>
      </c>
      <c r="B58" s="5">
        <f t="shared" si="13"/>
        <v>1.0528248997148519</v>
      </c>
      <c r="C58" s="5">
        <f t="shared" si="13"/>
        <v>1.0528248997148519</v>
      </c>
      <c r="D58" s="6">
        <f t="shared" si="11"/>
        <v>0</v>
      </c>
      <c r="E58" s="6">
        <f t="shared" si="14"/>
        <v>0</v>
      </c>
      <c r="J58" s="4"/>
      <c r="K58" s="17"/>
      <c r="L58" s="17"/>
      <c r="M58" s="17"/>
      <c r="N58" s="4"/>
      <c r="O58" s="16"/>
      <c r="P58" s="16"/>
      <c r="Q58" s="16"/>
    </row>
    <row r="59" spans="1:20" ht="15.75" x14ac:dyDescent="0.25">
      <c r="L59" s="4"/>
      <c r="M59" s="17"/>
      <c r="N59" s="17"/>
      <c r="O59" s="17"/>
      <c r="P59" s="4"/>
      <c r="Q59" s="16"/>
      <c r="R59" s="16"/>
      <c r="S59" s="16"/>
    </row>
    <row r="60" spans="1:20" ht="15.75" x14ac:dyDescent="0.25">
      <c r="L60" s="4"/>
      <c r="M60" s="17"/>
      <c r="N60" s="17"/>
      <c r="O60" s="17"/>
      <c r="P60" s="4"/>
      <c r="Q60" s="16"/>
      <c r="R60" s="16"/>
      <c r="S60" s="16"/>
    </row>
    <row r="61" spans="1:20" ht="15.75" x14ac:dyDescent="0.25">
      <c r="L61" s="4"/>
      <c r="M61" s="17"/>
      <c r="N61" s="17"/>
      <c r="O61" s="17"/>
      <c r="P61" s="4"/>
      <c r="Q61" s="16"/>
      <c r="R61" s="16"/>
      <c r="S61" s="16"/>
    </row>
    <row r="62" spans="1:20" ht="15.75" x14ac:dyDescent="0.25">
      <c r="L62" s="4"/>
      <c r="M62" s="17"/>
      <c r="N62" s="17"/>
      <c r="O62" s="17"/>
      <c r="P62" s="4"/>
      <c r="Q62" s="16"/>
      <c r="R62" s="16"/>
      <c r="S62" s="16"/>
    </row>
    <row r="63" spans="1:20" ht="15.75" x14ac:dyDescent="0.25">
      <c r="L63" s="4"/>
      <c r="M63" s="17"/>
      <c r="N63" s="17"/>
      <c r="O63" s="17"/>
      <c r="P63" s="4"/>
      <c r="Q63" s="16"/>
      <c r="R63" s="16"/>
      <c r="S63" s="16"/>
    </row>
    <row r="64" spans="1:20" x14ac:dyDescent="0.25">
      <c r="L64" s="4"/>
      <c r="M64" s="4"/>
      <c r="N64" s="4"/>
      <c r="O64" s="4"/>
      <c r="P64" s="4"/>
      <c r="Q64" s="4"/>
      <c r="R64" s="4"/>
      <c r="S64" s="4"/>
    </row>
    <row r="65" spans="12:19" x14ac:dyDescent="0.25">
      <c r="L65" s="4"/>
      <c r="M65" s="4"/>
      <c r="N65" s="4"/>
      <c r="O65" s="4"/>
      <c r="P65" s="4"/>
      <c r="Q65" s="4"/>
      <c r="R65" s="4"/>
      <c r="S65" s="4"/>
    </row>
    <row r="66" spans="12:19" x14ac:dyDescent="0.25">
      <c r="L66" s="4"/>
      <c r="M66" s="4"/>
      <c r="N66" s="4"/>
      <c r="O66" s="4"/>
      <c r="P66" s="4"/>
      <c r="Q66" s="4"/>
      <c r="R66" s="4"/>
      <c r="S66" s="4"/>
    </row>
  </sheetData>
  <mergeCells count="67">
    <mergeCell ref="N35:P35"/>
    <mergeCell ref="A7:A11"/>
    <mergeCell ref="B7:K7"/>
    <mergeCell ref="L7:M7"/>
    <mergeCell ref="N7:P7"/>
    <mergeCell ref="B9:K9"/>
    <mergeCell ref="L9:M9"/>
    <mergeCell ref="N9:P9"/>
    <mergeCell ref="B11:K11"/>
    <mergeCell ref="L11:M11"/>
    <mergeCell ref="N11:P11"/>
    <mergeCell ref="B10:K10"/>
    <mergeCell ref="L10:M10"/>
    <mergeCell ref="N31:P32"/>
    <mergeCell ref="D31:E32"/>
    <mergeCell ref="F31:G32"/>
    <mergeCell ref="R7:W7"/>
    <mergeCell ref="Y7:Z7"/>
    <mergeCell ref="B8:K8"/>
    <mergeCell ref="L8:M8"/>
    <mergeCell ref="N8:P8"/>
    <mergeCell ref="R8:W8"/>
    <mergeCell ref="Y8:Z8"/>
    <mergeCell ref="R9:W9"/>
    <mergeCell ref="Y9:Z9"/>
    <mergeCell ref="N10:P10"/>
    <mergeCell ref="R10:W10"/>
    <mergeCell ref="Y10:Z10"/>
    <mergeCell ref="R11:W11"/>
    <mergeCell ref="Y11:Z11"/>
    <mergeCell ref="B48:B49"/>
    <mergeCell ref="C48:C49"/>
    <mergeCell ref="D48:D49"/>
    <mergeCell ref="K35:M35"/>
    <mergeCell ref="B12:K12"/>
    <mergeCell ref="L12:M12"/>
    <mergeCell ref="N12:P12"/>
    <mergeCell ref="F48:F49"/>
    <mergeCell ref="H35:J35"/>
    <mergeCell ref="E48:E49"/>
    <mergeCell ref="F17:G17"/>
    <mergeCell ref="A30:P30"/>
    <mergeCell ref="A31:C32"/>
    <mergeCell ref="K31:M32"/>
    <mergeCell ref="H31:J32"/>
    <mergeCell ref="A33:A44"/>
    <mergeCell ref="A48:A49"/>
    <mergeCell ref="F34:G34"/>
    <mergeCell ref="H34:I34"/>
    <mergeCell ref="D33:E33"/>
    <mergeCell ref="D34:E34"/>
    <mergeCell ref="A17:A28"/>
    <mergeCell ref="Y5:Z5"/>
    <mergeCell ref="R6:W6"/>
    <mergeCell ref="D2:L2"/>
    <mergeCell ref="D3:L3"/>
    <mergeCell ref="D4:L4"/>
    <mergeCell ref="B6:K6"/>
    <mergeCell ref="Y6:Z6"/>
    <mergeCell ref="L6:M6"/>
    <mergeCell ref="N6:P6"/>
    <mergeCell ref="A14:Q14"/>
    <mergeCell ref="A15:B16"/>
    <mergeCell ref="C15:C16"/>
    <mergeCell ref="D15:J16"/>
    <mergeCell ref="K15:P16"/>
    <mergeCell ref="Q15:Q16"/>
  </mergeCells>
  <conditionalFormatting sqref="C15:C16 C18">
    <cfRule type="expression" dxfId="15" priority="7">
      <formula>$N$12="N"</formula>
    </cfRule>
  </conditionalFormatting>
  <conditionalFormatting sqref="C19:C28">
    <cfRule type="expression" dxfId="14" priority="5">
      <formula>$N$12="M"</formula>
    </cfRule>
    <cfRule type="expression" dxfId="13" priority="6">
      <formula>$N$12="A"</formula>
    </cfRule>
  </conditionalFormatting>
  <conditionalFormatting sqref="N7:P7">
    <cfRule type="expression" dxfId="12" priority="9">
      <formula>$N$12="A"</formula>
    </cfRule>
    <cfRule type="expression" dxfId="11" priority="10">
      <formula>$N$12="M"</formula>
    </cfRule>
  </conditionalFormatting>
  <conditionalFormatting sqref="Y6:Z6">
    <cfRule type="expression" dxfId="10" priority="1">
      <formula>$N$12="A"</formula>
    </cfRule>
    <cfRule type="expression" dxfId="9" priority="2">
      <formula>$N$12="M"</formula>
    </cfRule>
  </conditionalFormatting>
  <pageMargins left="0.7" right="0.7" top="0.75" bottom="0.75" header="0.3" footer="0.3"/>
  <pageSetup paperSize="24"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66"/>
  <sheetViews>
    <sheetView zoomScale="75" zoomScaleNormal="75" workbookViewId="0">
      <selection activeCell="A6" sqref="A6:P13"/>
    </sheetView>
  </sheetViews>
  <sheetFormatPr defaultColWidth="8.85546875" defaultRowHeight="15" x14ac:dyDescent="0.25"/>
  <cols>
    <col min="1" max="1" width="7.28515625" style="1" customWidth="1"/>
    <col min="2" max="2" width="6.28515625" style="1" bestFit="1" customWidth="1"/>
    <col min="3" max="3" width="12.28515625" style="1" bestFit="1" customWidth="1"/>
    <col min="4" max="4" width="10.28515625" style="1" customWidth="1"/>
    <col min="5" max="5" width="9.7109375" style="1" customWidth="1"/>
    <col min="6" max="6" width="9.85546875" style="1" customWidth="1"/>
    <col min="7" max="7" width="8.85546875" style="1" customWidth="1"/>
    <col min="8" max="8" width="9.5703125" style="1" customWidth="1"/>
    <col min="9" max="10" width="10.7109375" style="1" customWidth="1"/>
    <col min="11" max="11" width="9.7109375" style="1" customWidth="1"/>
    <col min="12" max="12" width="6.7109375" style="1" bestFit="1" customWidth="1"/>
    <col min="13" max="13" width="8.28515625" style="1" bestFit="1" customWidth="1"/>
    <col min="14" max="14" width="7.7109375" style="1" bestFit="1" customWidth="1"/>
    <col min="15" max="15" width="8.28515625" style="1" bestFit="1" customWidth="1"/>
    <col min="16" max="16" width="12.7109375" style="1" customWidth="1"/>
    <col min="17" max="17" width="10" style="1" customWidth="1"/>
    <col min="18" max="26" width="8.85546875" style="1"/>
    <col min="27" max="27" width="3.7109375" style="1" customWidth="1"/>
    <col min="28" max="16384" width="8.85546875" style="1"/>
  </cols>
  <sheetData>
    <row r="2" spans="1:29" x14ac:dyDescent="0.25">
      <c r="C2" s="3"/>
      <c r="D2" s="87" t="s">
        <v>88</v>
      </c>
      <c r="E2" s="99"/>
      <c r="F2" s="99"/>
      <c r="G2" s="99"/>
      <c r="H2" s="99"/>
      <c r="I2" s="99"/>
      <c r="J2" s="99"/>
      <c r="K2" s="87"/>
      <c r="L2" s="87"/>
    </row>
    <row r="3" spans="1:29" x14ac:dyDescent="0.25">
      <c r="C3" s="2"/>
      <c r="D3" s="87" t="s">
        <v>89</v>
      </c>
      <c r="E3" s="99"/>
      <c r="F3" s="99"/>
      <c r="G3" s="99"/>
      <c r="H3" s="99"/>
      <c r="I3" s="99"/>
      <c r="J3" s="99"/>
      <c r="K3" s="87"/>
      <c r="L3" s="87"/>
    </row>
    <row r="4" spans="1:29" x14ac:dyDescent="0.25">
      <c r="C4" s="49"/>
      <c r="D4" s="87" t="s">
        <v>90</v>
      </c>
      <c r="E4" s="99"/>
      <c r="F4" s="99"/>
      <c r="G4" s="99"/>
      <c r="H4" s="99"/>
      <c r="I4" s="99"/>
      <c r="J4" s="99"/>
      <c r="K4" s="87"/>
      <c r="L4" s="87"/>
    </row>
    <row r="5" spans="1:29" x14ac:dyDescent="0.25">
      <c r="X5" s="54" t="s">
        <v>0</v>
      </c>
      <c r="Y5" s="92" t="s">
        <v>1</v>
      </c>
      <c r="Z5" s="93"/>
    </row>
    <row r="6" spans="1:29" x14ac:dyDescent="0.25">
      <c r="A6" s="8"/>
      <c r="B6" s="97" t="s">
        <v>83</v>
      </c>
      <c r="C6" s="98"/>
      <c r="D6" s="98"/>
      <c r="E6" s="98"/>
      <c r="F6" s="98"/>
      <c r="G6" s="98"/>
      <c r="H6" s="98"/>
      <c r="I6" s="98"/>
      <c r="J6" s="98"/>
      <c r="K6" s="87"/>
      <c r="L6" s="94" t="s">
        <v>0</v>
      </c>
      <c r="M6" s="94"/>
      <c r="N6" s="95" t="s">
        <v>1</v>
      </c>
      <c r="O6" s="95"/>
      <c r="P6" s="96"/>
      <c r="R6" s="87" t="s">
        <v>98</v>
      </c>
      <c r="S6" s="87"/>
      <c r="T6" s="87"/>
      <c r="U6" s="87"/>
      <c r="V6" s="87"/>
      <c r="W6" s="111"/>
      <c r="X6" s="54" t="s">
        <v>18</v>
      </c>
      <c r="Y6" s="110">
        <v>2000</v>
      </c>
      <c r="Z6" s="110"/>
      <c r="AA6" s="1">
        <f>1/(Y6/D29)</f>
        <v>5</v>
      </c>
      <c r="AB6" t="s">
        <v>99</v>
      </c>
    </row>
    <row r="7" spans="1:29" x14ac:dyDescent="0.25">
      <c r="A7" s="106" t="s">
        <v>57</v>
      </c>
      <c r="B7" s="98" t="s">
        <v>2</v>
      </c>
      <c r="C7" s="98"/>
      <c r="D7" s="98"/>
      <c r="E7" s="98"/>
      <c r="F7" s="98"/>
      <c r="G7" s="98"/>
      <c r="H7" s="98"/>
      <c r="I7" s="98"/>
      <c r="J7" s="98"/>
      <c r="K7" s="98"/>
      <c r="L7" s="94" t="s">
        <v>3</v>
      </c>
      <c r="M7" s="98"/>
      <c r="N7" s="153">
        <v>10</v>
      </c>
      <c r="O7" s="154"/>
      <c r="P7" s="155"/>
      <c r="R7" s="87" t="s">
        <v>75</v>
      </c>
      <c r="S7" s="87"/>
      <c r="T7" s="87"/>
      <c r="U7" s="87"/>
      <c r="V7" s="87"/>
      <c r="W7" s="111"/>
      <c r="X7" s="21" t="s">
        <v>76</v>
      </c>
      <c r="Y7" s="100"/>
      <c r="Z7" s="101"/>
    </row>
    <row r="8" spans="1:29" x14ac:dyDescent="0.25">
      <c r="A8" s="106"/>
      <c r="B8" s="98" t="s">
        <v>4</v>
      </c>
      <c r="C8" s="98"/>
      <c r="D8" s="98"/>
      <c r="E8" s="98"/>
      <c r="F8" s="98"/>
      <c r="G8" s="98"/>
      <c r="H8" s="98"/>
      <c r="I8" s="98"/>
      <c r="J8" s="98"/>
      <c r="K8" s="98"/>
      <c r="L8" s="94" t="s">
        <v>5</v>
      </c>
      <c r="M8" s="98"/>
      <c r="N8" s="102">
        <v>10</v>
      </c>
      <c r="O8" s="102"/>
      <c r="P8" s="103"/>
      <c r="R8" s="87" t="s">
        <v>69</v>
      </c>
      <c r="S8" s="87"/>
      <c r="T8" s="87"/>
      <c r="U8" s="87"/>
      <c r="V8" s="87"/>
      <c r="W8" s="111"/>
      <c r="X8" s="21" t="s">
        <v>5</v>
      </c>
      <c r="Y8" s="100"/>
      <c r="Z8" s="101"/>
    </row>
    <row r="9" spans="1:29" x14ac:dyDescent="0.25">
      <c r="A9" s="106"/>
      <c r="B9" s="98" t="s">
        <v>6</v>
      </c>
      <c r="C9" s="98"/>
      <c r="D9" s="98"/>
      <c r="E9" s="98"/>
      <c r="F9" s="98"/>
      <c r="G9" s="98"/>
      <c r="H9" s="98"/>
      <c r="I9" s="98"/>
      <c r="J9" s="98"/>
      <c r="K9" s="98"/>
      <c r="L9" s="94" t="s">
        <v>7</v>
      </c>
      <c r="M9" s="98"/>
      <c r="N9" s="102">
        <v>10</v>
      </c>
      <c r="O9" s="102"/>
      <c r="P9" s="103"/>
      <c r="R9" s="87" t="s">
        <v>70</v>
      </c>
      <c r="S9" s="87"/>
      <c r="T9" s="87"/>
      <c r="U9" s="87"/>
      <c r="V9" s="87"/>
      <c r="W9" s="111"/>
      <c r="X9" s="21" t="s">
        <v>5</v>
      </c>
      <c r="Y9" s="100"/>
      <c r="Z9" s="101"/>
    </row>
    <row r="10" spans="1:29" x14ac:dyDescent="0.25">
      <c r="A10" s="106"/>
      <c r="B10" s="98" t="s">
        <v>46</v>
      </c>
      <c r="C10" s="98"/>
      <c r="D10" s="98"/>
      <c r="E10" s="98"/>
      <c r="F10" s="98"/>
      <c r="G10" s="98"/>
      <c r="H10" s="98"/>
      <c r="I10" s="98"/>
      <c r="J10" s="98"/>
      <c r="K10" s="98"/>
      <c r="L10" s="94" t="s">
        <v>8</v>
      </c>
      <c r="M10" s="98"/>
      <c r="N10" s="102">
        <v>1000</v>
      </c>
      <c r="O10" s="102"/>
      <c r="P10" s="103"/>
      <c r="R10" s="87" t="s">
        <v>71</v>
      </c>
      <c r="S10" s="87"/>
      <c r="T10" s="87"/>
      <c r="U10" s="87"/>
      <c r="V10" s="87"/>
      <c r="W10" s="111"/>
      <c r="X10" s="21" t="s">
        <v>5</v>
      </c>
      <c r="Y10" s="100"/>
      <c r="Z10" s="101"/>
    </row>
    <row r="11" spans="1:29" x14ac:dyDescent="0.25">
      <c r="A11" s="98"/>
      <c r="B11" s="98" t="s">
        <v>68</v>
      </c>
      <c r="C11" s="98"/>
      <c r="D11" s="98"/>
      <c r="E11" s="98"/>
      <c r="F11" s="98"/>
      <c r="G11" s="98"/>
      <c r="H11" s="98"/>
      <c r="I11" s="98"/>
      <c r="J11" s="98"/>
      <c r="K11" s="98"/>
      <c r="L11" s="94" t="s">
        <v>9</v>
      </c>
      <c r="M11" s="98"/>
      <c r="N11" s="102">
        <v>85</v>
      </c>
      <c r="O11" s="102"/>
      <c r="P11" s="103"/>
      <c r="R11" s="87" t="s">
        <v>72</v>
      </c>
      <c r="S11" s="87"/>
      <c r="T11" s="87"/>
      <c r="U11" s="87"/>
      <c r="V11" s="87"/>
      <c r="W11" s="111"/>
      <c r="X11" s="21" t="s">
        <v>5</v>
      </c>
      <c r="Y11" s="100"/>
      <c r="Z11" s="101"/>
      <c r="AB11" s="92"/>
      <c r="AC11" s="93"/>
    </row>
    <row r="12" spans="1:29" x14ac:dyDescent="0.25">
      <c r="A12" s="98"/>
      <c r="B12" s="163" t="s">
        <v>81</v>
      </c>
      <c r="C12" s="164"/>
      <c r="D12" s="164"/>
      <c r="E12" s="164"/>
      <c r="F12" s="164"/>
      <c r="G12" s="164"/>
      <c r="H12" s="164"/>
      <c r="I12" s="164"/>
      <c r="J12" s="164"/>
      <c r="K12" s="124"/>
      <c r="L12" s="94" t="s">
        <v>18</v>
      </c>
      <c r="M12" s="98"/>
      <c r="N12" s="102">
        <v>500</v>
      </c>
      <c r="O12" s="102"/>
      <c r="P12" s="103"/>
      <c r="Y12" s="55"/>
      <c r="Z12" s="55"/>
    </row>
    <row r="13" spans="1:29" x14ac:dyDescent="0.25">
      <c r="B13" s="163" t="s">
        <v>74</v>
      </c>
      <c r="C13" s="164"/>
      <c r="D13" s="164"/>
      <c r="E13" s="164"/>
      <c r="F13" s="164"/>
      <c r="G13" s="164"/>
      <c r="H13" s="164"/>
      <c r="I13" s="164"/>
      <c r="J13" s="164"/>
      <c r="K13" s="165"/>
      <c r="L13" s="142" t="s">
        <v>73</v>
      </c>
      <c r="M13" s="143"/>
      <c r="N13" s="144" t="s">
        <v>67</v>
      </c>
      <c r="O13" s="145"/>
      <c r="P13" s="146"/>
    </row>
    <row r="15" spans="1:29" x14ac:dyDescent="0.25">
      <c r="A15" s="92" t="s">
        <v>47</v>
      </c>
      <c r="B15" s="92"/>
      <c r="C15" s="92"/>
      <c r="D15" s="92"/>
      <c r="E15" s="92"/>
      <c r="F15" s="92"/>
      <c r="G15" s="92"/>
      <c r="H15" s="92"/>
      <c r="I15" s="92"/>
      <c r="J15" s="92"/>
      <c r="K15" s="92"/>
      <c r="L15" s="92"/>
      <c r="M15" s="92"/>
      <c r="N15" s="92"/>
      <c r="O15" s="92"/>
      <c r="P15" s="92"/>
      <c r="Q15" s="87"/>
    </row>
    <row r="16" spans="1:29" ht="14.45" customHeight="1" x14ac:dyDescent="0.25">
      <c r="A16" s="109"/>
      <c r="B16" s="60"/>
      <c r="C16" s="119" t="s">
        <v>65</v>
      </c>
      <c r="D16" s="120" t="s">
        <v>63</v>
      </c>
      <c r="E16" s="87"/>
      <c r="F16" s="87"/>
      <c r="G16" s="87"/>
      <c r="H16" s="87"/>
      <c r="I16" s="87"/>
      <c r="J16" s="87"/>
      <c r="K16" s="125" t="s">
        <v>64</v>
      </c>
      <c r="L16" s="69"/>
      <c r="M16" s="69"/>
      <c r="N16" s="69"/>
      <c r="O16" s="69"/>
      <c r="P16" s="126"/>
      <c r="Q16" s="99"/>
    </row>
    <row r="17" spans="1:17" x14ac:dyDescent="0.25">
      <c r="A17" s="60"/>
      <c r="B17" s="60"/>
      <c r="C17" s="119"/>
      <c r="D17" s="87"/>
      <c r="E17" s="87"/>
      <c r="F17" s="87"/>
      <c r="G17" s="87"/>
      <c r="H17" s="87"/>
      <c r="I17" s="87"/>
      <c r="J17" s="87"/>
      <c r="K17" s="127"/>
      <c r="L17" s="75"/>
      <c r="M17" s="75"/>
      <c r="N17" s="75"/>
      <c r="O17" s="75"/>
      <c r="P17" s="128"/>
      <c r="Q17" s="99"/>
    </row>
    <row r="18" spans="1:17" ht="75" customHeight="1" x14ac:dyDescent="0.25">
      <c r="A18" s="104" t="s">
        <v>79</v>
      </c>
      <c r="B18" s="27" t="s">
        <v>10</v>
      </c>
      <c r="C18" s="27" t="s">
        <v>77</v>
      </c>
      <c r="D18" s="27" t="s">
        <v>61</v>
      </c>
      <c r="E18" s="27" t="s">
        <v>21</v>
      </c>
      <c r="F18" s="108" t="s">
        <v>11</v>
      </c>
      <c r="G18" s="108"/>
      <c r="H18" s="27" t="s">
        <v>12</v>
      </c>
      <c r="I18" s="27" t="s">
        <v>13</v>
      </c>
      <c r="J18" s="27" t="s">
        <v>62</v>
      </c>
      <c r="K18" s="27" t="s">
        <v>26</v>
      </c>
      <c r="L18" s="27" t="s">
        <v>27</v>
      </c>
      <c r="M18" s="27" t="s">
        <v>22</v>
      </c>
      <c r="N18" s="27" t="s">
        <v>28</v>
      </c>
      <c r="O18" s="27" t="s">
        <v>30</v>
      </c>
      <c r="P18" s="27" t="s">
        <v>29</v>
      </c>
      <c r="Q18" s="18" t="s">
        <v>24</v>
      </c>
    </row>
    <row r="19" spans="1:17" ht="30" x14ac:dyDescent="0.25">
      <c r="A19" s="121"/>
      <c r="B19" s="25" t="s">
        <v>14</v>
      </c>
      <c r="C19" s="25" t="s">
        <v>18</v>
      </c>
      <c r="D19" s="25" t="s">
        <v>18</v>
      </c>
      <c r="E19" s="25" t="s">
        <v>15</v>
      </c>
      <c r="F19" s="34" t="s">
        <v>16</v>
      </c>
      <c r="G19" s="25" t="s">
        <v>17</v>
      </c>
      <c r="H19" s="25" t="s">
        <v>5</v>
      </c>
      <c r="I19" s="25" t="s">
        <v>19</v>
      </c>
      <c r="J19" s="25" t="s">
        <v>20</v>
      </c>
      <c r="K19" s="25" t="s">
        <v>23</v>
      </c>
      <c r="L19" s="25" t="s">
        <v>23</v>
      </c>
      <c r="M19" s="25" t="s">
        <v>15</v>
      </c>
      <c r="N19" s="25" t="s">
        <v>23</v>
      </c>
      <c r="O19" s="25" t="s">
        <v>23</v>
      </c>
      <c r="P19" s="25" t="s">
        <v>23</v>
      </c>
      <c r="Q19" s="35" t="s">
        <v>25</v>
      </c>
    </row>
    <row r="20" spans="1:17" ht="14.45" customHeight="1" x14ac:dyDescent="0.25">
      <c r="A20" s="121"/>
      <c r="B20" s="29">
        <v>1</v>
      </c>
      <c r="C20" s="9">
        <v>1166.6666666666667</v>
      </c>
      <c r="D20" s="9">
        <f>D21-N12</f>
        <v>500</v>
      </c>
      <c r="E20" s="10">
        <f>IF(N$13="M",((C20/((N$7*1000000)/N$10))*100),(D20/((N$7*1000000)/N$10))*100)</f>
        <v>5</v>
      </c>
      <c r="F20" s="30">
        <f>IF(N$13="M",((C20*N$10)/1000000),((D20*N$10)/1000000))</f>
        <v>0.5</v>
      </c>
      <c r="G20" s="10">
        <f>F20*0.2928</f>
        <v>0.1464</v>
      </c>
      <c r="H20" s="10">
        <f>IF(N$13="M",(N$8*((C20/(N$7*1000000/N$10))^2)), (N$8*((D20/(N$7*1000000/N$10))^2)))</f>
        <v>2.5000000000000005E-2</v>
      </c>
      <c r="I20" s="10">
        <f t="shared" ref="I20:I29" si="0">(F20/0.033475)*(N$11/100)</f>
        <v>12.696041822255415</v>
      </c>
      <c r="J20" s="10">
        <f>(33475*I20)/(1189.6-198.9)</f>
        <v>428.98960331079036</v>
      </c>
      <c r="K20" s="7"/>
      <c r="L20" s="7"/>
      <c r="M20" s="7"/>
      <c r="N20" s="7"/>
      <c r="O20" s="7"/>
      <c r="P20" s="7"/>
      <c r="Q20" s="10">
        <f>Q21</f>
        <v>0.5</v>
      </c>
    </row>
    <row r="21" spans="1:17" x14ac:dyDescent="0.25">
      <c r="A21" s="121"/>
      <c r="B21" s="29">
        <v>2</v>
      </c>
      <c r="C21" s="9">
        <v>1666.6666666666667</v>
      </c>
      <c r="D21" s="9">
        <f>((N$7*1000000)/N$10)/N9</f>
        <v>1000</v>
      </c>
      <c r="E21" s="10">
        <f t="shared" ref="E21:E29" si="1">IF(N$13="M",((C21/((N$7*1000000)/N$10))*100),(D21/((N$7*1000000)/N$10))*100)</f>
        <v>10</v>
      </c>
      <c r="F21" s="30">
        <f t="shared" ref="F21:F29" si="2">IF(N$13="M",((C21*N$10)/1000000),((D21*N$10)/1000000))</f>
        <v>1</v>
      </c>
      <c r="G21" s="10">
        <f t="shared" ref="G21:G29" si="3">F21*0.2928</f>
        <v>0.2928</v>
      </c>
      <c r="H21" s="10">
        <f t="shared" ref="H21:H29" si="4">IF(N$13="M",(N$8*((C21/(N$7*1000000/N$10))^2)), (N$8*((D21/(N$7*1000000/N$10))^2)))</f>
        <v>0.10000000000000002</v>
      </c>
      <c r="I21" s="10">
        <f t="shared" si="0"/>
        <v>25.39208364451083</v>
      </c>
      <c r="J21" s="10">
        <f t="shared" ref="J21:J29" si="5">(33475*I21)/(1189.6-198.9)</f>
        <v>857.97920662158072</v>
      </c>
      <c r="K21" s="7"/>
      <c r="L21" s="7"/>
      <c r="M21" s="7"/>
      <c r="N21" s="7"/>
      <c r="O21" s="7"/>
      <c r="P21" s="7"/>
      <c r="Q21" s="10">
        <f>D37+0.5</f>
        <v>0.5</v>
      </c>
    </row>
    <row r="22" spans="1:17" x14ac:dyDescent="0.25">
      <c r="A22" s="121"/>
      <c r="B22" s="29">
        <v>3</v>
      </c>
      <c r="C22" s="9">
        <v>3958.333333333333</v>
      </c>
      <c r="D22" s="9">
        <f t="shared" ref="D22:D29" si="6">(((((N$7*1000000)/N$10)) -D$21)/8)+D21</f>
        <v>2125</v>
      </c>
      <c r="E22" s="10">
        <f t="shared" si="1"/>
        <v>21.25</v>
      </c>
      <c r="F22" s="30">
        <f t="shared" si="2"/>
        <v>2.125</v>
      </c>
      <c r="G22" s="10">
        <f t="shared" si="3"/>
        <v>0.62219999999999998</v>
      </c>
      <c r="H22" s="10">
        <f t="shared" si="4"/>
        <v>0.45156249999999998</v>
      </c>
      <c r="I22" s="10">
        <f t="shared" si="0"/>
        <v>53.958177744585512</v>
      </c>
      <c r="J22" s="10">
        <f t="shared" si="5"/>
        <v>1823.2058140708591</v>
      </c>
      <c r="K22" s="7"/>
      <c r="L22" s="7"/>
      <c r="M22" s="7"/>
      <c r="N22" s="7"/>
      <c r="O22" s="7"/>
      <c r="P22" s="7"/>
      <c r="Q22" s="10">
        <f t="shared" ref="Q22:Q29" si="7">D38+0.5</f>
        <v>0.5</v>
      </c>
    </row>
    <row r="23" spans="1:17" x14ac:dyDescent="0.25">
      <c r="A23" s="121"/>
      <c r="B23" s="29">
        <v>4</v>
      </c>
      <c r="C23" s="9">
        <v>6250</v>
      </c>
      <c r="D23" s="9">
        <f t="shared" si="6"/>
        <v>3250</v>
      </c>
      <c r="E23" s="10">
        <f t="shared" si="1"/>
        <v>32.5</v>
      </c>
      <c r="F23" s="30">
        <f t="shared" si="2"/>
        <v>3.25</v>
      </c>
      <c r="G23" s="10">
        <f t="shared" si="3"/>
        <v>0.9516</v>
      </c>
      <c r="H23" s="10">
        <f t="shared" si="4"/>
        <v>1.0562500000000001</v>
      </c>
      <c r="I23" s="10">
        <f t="shared" si="0"/>
        <v>82.524271844660191</v>
      </c>
      <c r="J23" s="10">
        <f t="shared" si="5"/>
        <v>2788.4324215201373</v>
      </c>
      <c r="K23" s="7"/>
      <c r="L23" s="7"/>
      <c r="M23" s="7"/>
      <c r="N23" s="7"/>
      <c r="O23" s="7"/>
      <c r="P23" s="7"/>
      <c r="Q23" s="10">
        <f t="shared" si="7"/>
        <v>0.5</v>
      </c>
    </row>
    <row r="24" spans="1:17" x14ac:dyDescent="0.25">
      <c r="A24" s="121"/>
      <c r="B24" s="29">
        <v>5</v>
      </c>
      <c r="C24" s="9">
        <v>8541.6666666666661</v>
      </c>
      <c r="D24" s="9">
        <f t="shared" si="6"/>
        <v>4375</v>
      </c>
      <c r="E24" s="10">
        <f t="shared" si="1"/>
        <v>43.75</v>
      </c>
      <c r="F24" s="30">
        <f t="shared" si="2"/>
        <v>4.375</v>
      </c>
      <c r="G24" s="10">
        <f t="shared" si="3"/>
        <v>1.2809999999999999</v>
      </c>
      <c r="H24" s="10">
        <f t="shared" si="4"/>
        <v>1.9140625</v>
      </c>
      <c r="I24" s="10">
        <f t="shared" si="0"/>
        <v>111.09036594473488</v>
      </c>
      <c r="J24" s="10">
        <f t="shared" si="5"/>
        <v>3753.6590289694163</v>
      </c>
      <c r="K24" s="7"/>
      <c r="L24" s="7"/>
      <c r="M24" s="7"/>
      <c r="N24" s="7"/>
      <c r="O24" s="7"/>
      <c r="P24" s="7"/>
      <c r="Q24" s="10">
        <f t="shared" si="7"/>
        <v>0.5</v>
      </c>
    </row>
    <row r="25" spans="1:17" x14ac:dyDescent="0.25">
      <c r="A25" s="121"/>
      <c r="B25" s="29">
        <v>6</v>
      </c>
      <c r="C25" s="9">
        <v>11000</v>
      </c>
      <c r="D25" s="9">
        <f t="shared" si="6"/>
        <v>5500</v>
      </c>
      <c r="E25" s="10">
        <f t="shared" si="1"/>
        <v>55.000000000000007</v>
      </c>
      <c r="F25" s="30">
        <f t="shared" si="2"/>
        <v>5.5</v>
      </c>
      <c r="G25" s="10">
        <f t="shared" si="3"/>
        <v>1.6104000000000001</v>
      </c>
      <c r="H25" s="10">
        <f t="shared" si="4"/>
        <v>3.0250000000000004</v>
      </c>
      <c r="I25" s="10">
        <f t="shared" si="0"/>
        <v>139.65646004480956</v>
      </c>
      <c r="J25" s="10">
        <f t="shared" si="5"/>
        <v>4718.885636418694</v>
      </c>
      <c r="K25" s="7"/>
      <c r="L25" s="7"/>
      <c r="M25" s="7"/>
      <c r="N25" s="7"/>
      <c r="O25" s="7"/>
      <c r="P25" s="7"/>
      <c r="Q25" s="10">
        <f t="shared" si="7"/>
        <v>0.5</v>
      </c>
    </row>
    <row r="26" spans="1:17" x14ac:dyDescent="0.25">
      <c r="A26" s="121"/>
      <c r="B26" s="29">
        <v>7</v>
      </c>
      <c r="C26" s="9">
        <v>13124.999999999998</v>
      </c>
      <c r="D26" s="9">
        <f t="shared" si="6"/>
        <v>6625</v>
      </c>
      <c r="E26" s="10">
        <f t="shared" si="1"/>
        <v>66.25</v>
      </c>
      <c r="F26" s="30">
        <f t="shared" si="2"/>
        <v>6.625</v>
      </c>
      <c r="G26" s="10">
        <f t="shared" si="3"/>
        <v>1.9398</v>
      </c>
      <c r="H26" s="10">
        <f t="shared" si="4"/>
        <v>4.3890624999999996</v>
      </c>
      <c r="I26" s="10">
        <f t="shared" si="0"/>
        <v>168.22255414488424</v>
      </c>
      <c r="J26" s="10">
        <f t="shared" si="5"/>
        <v>5684.1122438679722</v>
      </c>
      <c r="K26" s="7"/>
      <c r="L26" s="7"/>
      <c r="M26" s="7"/>
      <c r="N26" s="7"/>
      <c r="O26" s="7"/>
      <c r="P26" s="7"/>
      <c r="Q26" s="10">
        <f t="shared" si="7"/>
        <v>0.5</v>
      </c>
    </row>
    <row r="27" spans="1:17" x14ac:dyDescent="0.25">
      <c r="A27" s="121"/>
      <c r="B27" s="29">
        <v>8</v>
      </c>
      <c r="C27" s="9">
        <v>16000</v>
      </c>
      <c r="D27" s="9">
        <f t="shared" si="6"/>
        <v>7750</v>
      </c>
      <c r="E27" s="10">
        <f t="shared" si="1"/>
        <v>77.5</v>
      </c>
      <c r="F27" s="30">
        <f t="shared" si="2"/>
        <v>7.75</v>
      </c>
      <c r="G27" s="10">
        <f t="shared" si="3"/>
        <v>2.2692000000000001</v>
      </c>
      <c r="H27" s="10">
        <f t="shared" si="4"/>
        <v>6.0062500000000005</v>
      </c>
      <c r="I27" s="10">
        <f t="shared" si="0"/>
        <v>196.78864824495892</v>
      </c>
      <c r="J27" s="10">
        <f t="shared" si="5"/>
        <v>6649.3388513172513</v>
      </c>
      <c r="K27" s="7"/>
      <c r="L27" s="7"/>
      <c r="M27" s="7"/>
      <c r="N27" s="7"/>
      <c r="O27" s="7"/>
      <c r="P27" s="7"/>
      <c r="Q27" s="10">
        <f t="shared" si="7"/>
        <v>0.5</v>
      </c>
    </row>
    <row r="28" spans="1:17" x14ac:dyDescent="0.25">
      <c r="A28" s="121"/>
      <c r="B28" s="29">
        <v>9</v>
      </c>
      <c r="C28" s="9">
        <v>17708.333333333332</v>
      </c>
      <c r="D28" s="9">
        <f t="shared" si="6"/>
        <v>8875</v>
      </c>
      <c r="E28" s="10">
        <f t="shared" si="1"/>
        <v>88.75</v>
      </c>
      <c r="F28" s="30">
        <f t="shared" si="2"/>
        <v>8.875</v>
      </c>
      <c r="G28" s="10">
        <f t="shared" si="3"/>
        <v>2.5986000000000002</v>
      </c>
      <c r="H28" s="10">
        <f t="shared" si="4"/>
        <v>7.8765624999999995</v>
      </c>
      <c r="I28" s="10">
        <f t="shared" si="0"/>
        <v>225.35474234503363</v>
      </c>
      <c r="J28" s="10">
        <f t="shared" si="5"/>
        <v>7614.5654587665304</v>
      </c>
      <c r="K28" s="7"/>
      <c r="L28" s="7"/>
      <c r="M28" s="7"/>
      <c r="N28" s="7"/>
      <c r="O28" s="7"/>
      <c r="P28" s="7"/>
      <c r="Q28" s="10">
        <f t="shared" si="7"/>
        <v>0.5</v>
      </c>
    </row>
    <row r="29" spans="1:17" x14ac:dyDescent="0.25">
      <c r="A29" s="121"/>
      <c r="B29" s="29">
        <v>10</v>
      </c>
      <c r="C29" s="9">
        <v>20000</v>
      </c>
      <c r="D29" s="9">
        <f t="shared" si="6"/>
        <v>10000</v>
      </c>
      <c r="E29" s="10">
        <f t="shared" si="1"/>
        <v>100</v>
      </c>
      <c r="F29" s="30">
        <f t="shared" si="2"/>
        <v>10</v>
      </c>
      <c r="G29" s="10">
        <f t="shared" si="3"/>
        <v>2.9279999999999999</v>
      </c>
      <c r="H29" s="10">
        <f t="shared" si="4"/>
        <v>10</v>
      </c>
      <c r="I29" s="10">
        <f t="shared" si="0"/>
        <v>253.92083644510831</v>
      </c>
      <c r="J29" s="10">
        <f t="shared" si="5"/>
        <v>8579.7920662158067</v>
      </c>
      <c r="K29" s="7"/>
      <c r="L29" s="7"/>
      <c r="M29" s="7"/>
      <c r="N29" s="7"/>
      <c r="O29" s="7"/>
      <c r="P29" s="7"/>
      <c r="Q29" s="10">
        <f t="shared" si="7"/>
        <v>0.5</v>
      </c>
    </row>
    <row r="30" spans="1:17" ht="21.6" customHeight="1" x14ac:dyDescent="0.25"/>
    <row r="31" spans="1:17" ht="16.149999999999999" customHeight="1" x14ac:dyDescent="0.25">
      <c r="A31" s="92" t="s">
        <v>56</v>
      </c>
      <c r="B31" s="92"/>
      <c r="C31" s="92"/>
      <c r="D31" s="92"/>
      <c r="E31" s="92"/>
      <c r="F31" s="92"/>
      <c r="G31" s="92"/>
      <c r="H31" s="92"/>
      <c r="I31" s="92"/>
      <c r="J31" s="92"/>
      <c r="K31" s="92"/>
      <c r="L31" s="92"/>
      <c r="M31" s="92"/>
      <c r="N31" s="92"/>
      <c r="O31" s="92"/>
      <c r="P31" s="92"/>
    </row>
    <row r="32" spans="1:17" ht="21" customHeight="1" x14ac:dyDescent="0.25">
      <c r="A32" s="147" t="s">
        <v>55</v>
      </c>
      <c r="B32" s="148"/>
      <c r="C32" s="149"/>
      <c r="D32" s="147" t="s">
        <v>87</v>
      </c>
      <c r="E32" s="148"/>
      <c r="F32" s="126"/>
      <c r="G32" s="129" t="s">
        <v>49</v>
      </c>
      <c r="H32" s="130"/>
      <c r="I32" s="130"/>
      <c r="J32" s="158"/>
      <c r="K32" s="156" t="s">
        <v>100</v>
      </c>
      <c r="L32" s="157"/>
      <c r="M32" s="157"/>
      <c r="N32" s="156" t="s">
        <v>31</v>
      </c>
      <c r="O32" s="157"/>
      <c r="P32" s="157"/>
    </row>
    <row r="33" spans="1:22" ht="21" customHeight="1" x14ac:dyDescent="0.25">
      <c r="A33" s="150"/>
      <c r="B33" s="151"/>
      <c r="C33" s="152"/>
      <c r="D33" s="150"/>
      <c r="E33" s="151"/>
      <c r="F33" s="128"/>
      <c r="G33" s="130"/>
      <c r="H33" s="130"/>
      <c r="I33" s="130"/>
      <c r="J33" s="159"/>
      <c r="K33" s="157"/>
      <c r="L33" s="157"/>
      <c r="M33" s="157"/>
      <c r="N33" s="157"/>
      <c r="O33" s="157"/>
      <c r="P33" s="157"/>
    </row>
    <row r="34" spans="1:22" ht="70.900000000000006" customHeight="1" x14ac:dyDescent="0.25">
      <c r="A34" s="106" t="s">
        <v>60</v>
      </c>
      <c r="B34" s="22" t="s">
        <v>10</v>
      </c>
      <c r="C34" s="22" t="s">
        <v>21</v>
      </c>
      <c r="D34" s="11" t="s">
        <v>59</v>
      </c>
      <c r="E34" s="48" t="s">
        <v>94</v>
      </c>
      <c r="F34" s="48" t="s">
        <v>91</v>
      </c>
      <c r="G34" s="11" t="s">
        <v>93</v>
      </c>
      <c r="H34" s="11" t="s">
        <v>50</v>
      </c>
      <c r="I34" s="11" t="s">
        <v>51</v>
      </c>
      <c r="J34" s="159"/>
      <c r="K34" s="11" t="s">
        <v>32</v>
      </c>
      <c r="L34" s="11" t="s">
        <v>33</v>
      </c>
      <c r="M34" s="11" t="s">
        <v>34</v>
      </c>
      <c r="N34" s="11" t="s">
        <v>32</v>
      </c>
      <c r="O34" s="11" t="s">
        <v>33</v>
      </c>
      <c r="P34" s="11" t="s">
        <v>34</v>
      </c>
    </row>
    <row r="35" spans="1:22" ht="25.9" customHeight="1" x14ac:dyDescent="0.25">
      <c r="A35" s="107"/>
      <c r="B35" s="25" t="s">
        <v>14</v>
      </c>
      <c r="C35" s="25" t="s">
        <v>15</v>
      </c>
      <c r="D35" s="133" t="s">
        <v>25</v>
      </c>
      <c r="E35" s="161"/>
      <c r="F35" s="162"/>
      <c r="G35" s="133" t="s">
        <v>25</v>
      </c>
      <c r="H35" s="162"/>
      <c r="I35" s="23" t="s">
        <v>15</v>
      </c>
      <c r="J35" s="159"/>
      <c r="K35" s="23" t="s">
        <v>15</v>
      </c>
      <c r="L35" s="23" t="s">
        <v>35</v>
      </c>
      <c r="M35" s="23" t="s">
        <v>35</v>
      </c>
      <c r="N35" s="23" t="s">
        <v>15</v>
      </c>
      <c r="O35" s="23" t="s">
        <v>35</v>
      </c>
      <c r="P35" s="23" t="s">
        <v>35</v>
      </c>
    </row>
    <row r="36" spans="1:22" ht="15.75" x14ac:dyDescent="0.25">
      <c r="A36" s="107"/>
      <c r="B36" s="24">
        <v>1</v>
      </c>
      <c r="C36" s="10">
        <f>E20</f>
        <v>5</v>
      </c>
      <c r="D36" s="19" t="s">
        <v>36</v>
      </c>
      <c r="E36" s="15"/>
      <c r="F36" s="15"/>
      <c r="G36" s="139" t="s">
        <v>52</v>
      </c>
      <c r="H36" s="140"/>
      <c r="I36" s="141"/>
      <c r="J36" s="159"/>
      <c r="K36" s="139" t="s">
        <v>52</v>
      </c>
      <c r="L36" s="140"/>
      <c r="M36" s="141"/>
      <c r="N36" s="139" t="s">
        <v>52</v>
      </c>
      <c r="O36" s="140"/>
      <c r="P36" s="141"/>
    </row>
    <row r="37" spans="1:22" x14ac:dyDescent="0.25">
      <c r="A37" s="107"/>
      <c r="B37" s="24">
        <v>2</v>
      </c>
      <c r="C37" s="10">
        <f t="shared" ref="C37:C45" si="8">E21</f>
        <v>10</v>
      </c>
      <c r="D37" s="15"/>
      <c r="E37" s="15"/>
      <c r="F37" s="15"/>
      <c r="G37" s="53"/>
      <c r="H37" s="53"/>
      <c r="I37" s="53"/>
      <c r="J37" s="159"/>
      <c r="K37" s="50"/>
      <c r="L37" s="50"/>
      <c r="M37" s="50"/>
      <c r="N37" s="50"/>
      <c r="O37" s="50"/>
      <c r="P37" s="50"/>
    </row>
    <row r="38" spans="1:22" x14ac:dyDescent="0.25">
      <c r="A38" s="107"/>
      <c r="B38" s="24">
        <v>3</v>
      </c>
      <c r="C38" s="10">
        <f t="shared" si="8"/>
        <v>21.25</v>
      </c>
      <c r="D38" s="15"/>
      <c r="E38" s="15"/>
      <c r="F38" s="15"/>
      <c r="G38" s="53"/>
      <c r="H38" s="53"/>
      <c r="I38" s="53"/>
      <c r="J38" s="159"/>
      <c r="K38" s="50"/>
      <c r="L38" s="50"/>
      <c r="M38" s="50"/>
      <c r="N38" s="50"/>
      <c r="O38" s="50"/>
      <c r="P38" s="50"/>
    </row>
    <row r="39" spans="1:22" x14ac:dyDescent="0.25">
      <c r="A39" s="107"/>
      <c r="B39" s="24">
        <v>4</v>
      </c>
      <c r="C39" s="10">
        <f t="shared" si="8"/>
        <v>32.5</v>
      </c>
      <c r="D39" s="15"/>
      <c r="E39" s="15"/>
      <c r="F39" s="15"/>
      <c r="G39" s="53"/>
      <c r="H39" s="53"/>
      <c r="I39" s="53"/>
      <c r="J39" s="159"/>
      <c r="K39" s="50"/>
      <c r="L39" s="50"/>
      <c r="M39" s="50"/>
      <c r="N39" s="50"/>
      <c r="O39" s="50"/>
      <c r="P39" s="50"/>
    </row>
    <row r="40" spans="1:22" x14ac:dyDescent="0.25">
      <c r="A40" s="107"/>
      <c r="B40" s="24">
        <v>5</v>
      </c>
      <c r="C40" s="10">
        <f t="shared" si="8"/>
        <v>43.75</v>
      </c>
      <c r="D40" s="15"/>
      <c r="E40" s="15"/>
      <c r="F40" s="15"/>
      <c r="G40" s="53"/>
      <c r="H40" s="53"/>
      <c r="I40" s="53"/>
      <c r="J40" s="159"/>
      <c r="K40" s="50"/>
      <c r="L40" s="50"/>
      <c r="M40" s="50"/>
      <c r="N40" s="50"/>
      <c r="O40" s="50"/>
      <c r="P40" s="50"/>
    </row>
    <row r="41" spans="1:22" x14ac:dyDescent="0.25">
      <c r="A41" s="107"/>
      <c r="B41" s="24">
        <v>6</v>
      </c>
      <c r="C41" s="10">
        <f t="shared" si="8"/>
        <v>55.000000000000007</v>
      </c>
      <c r="D41" s="15"/>
      <c r="E41" s="15"/>
      <c r="F41" s="15"/>
      <c r="G41" s="53"/>
      <c r="H41" s="53"/>
      <c r="I41" s="53"/>
      <c r="J41" s="159"/>
      <c r="K41" s="50"/>
      <c r="L41" s="50"/>
      <c r="M41" s="50"/>
      <c r="N41" s="50"/>
      <c r="O41" s="50"/>
      <c r="P41" s="50"/>
    </row>
    <row r="42" spans="1:22" x14ac:dyDescent="0.25">
      <c r="A42" s="107"/>
      <c r="B42" s="24">
        <v>7</v>
      </c>
      <c r="C42" s="10">
        <f t="shared" si="8"/>
        <v>66.25</v>
      </c>
      <c r="D42" s="15"/>
      <c r="E42" s="15"/>
      <c r="F42" s="15"/>
      <c r="G42" s="53"/>
      <c r="H42" s="53"/>
      <c r="I42" s="53"/>
      <c r="J42" s="159"/>
      <c r="K42" s="50"/>
      <c r="L42" s="50"/>
      <c r="M42" s="50"/>
      <c r="N42" s="50"/>
      <c r="O42" s="50"/>
      <c r="P42" s="50"/>
    </row>
    <row r="43" spans="1:22" x14ac:dyDescent="0.25">
      <c r="A43" s="107"/>
      <c r="B43" s="24">
        <v>8</v>
      </c>
      <c r="C43" s="10">
        <f t="shared" si="8"/>
        <v>77.5</v>
      </c>
      <c r="D43" s="15"/>
      <c r="E43" s="15"/>
      <c r="F43" s="15"/>
      <c r="G43" s="53"/>
      <c r="H43" s="53"/>
      <c r="I43" s="53"/>
      <c r="J43" s="159"/>
      <c r="K43" s="50"/>
      <c r="L43" s="50"/>
      <c r="M43" s="50"/>
      <c r="N43" s="50"/>
      <c r="O43" s="50"/>
      <c r="P43" s="50"/>
    </row>
    <row r="44" spans="1:22" x14ac:dyDescent="0.25">
      <c r="A44" s="107"/>
      <c r="B44" s="24">
        <v>9</v>
      </c>
      <c r="C44" s="10">
        <f t="shared" si="8"/>
        <v>88.75</v>
      </c>
      <c r="D44" s="15"/>
      <c r="E44" s="15"/>
      <c r="F44" s="15"/>
      <c r="G44" s="53"/>
      <c r="H44" s="53"/>
      <c r="I44" s="53"/>
      <c r="J44" s="159"/>
      <c r="K44" s="50"/>
      <c r="L44" s="50"/>
      <c r="M44" s="50"/>
      <c r="N44" s="50"/>
      <c r="O44" s="50"/>
      <c r="P44" s="50"/>
    </row>
    <row r="45" spans="1:22" x14ac:dyDescent="0.25">
      <c r="A45" s="107"/>
      <c r="B45" s="24">
        <v>10</v>
      </c>
      <c r="C45" s="10">
        <f t="shared" si="8"/>
        <v>100</v>
      </c>
      <c r="D45" s="15"/>
      <c r="E45" s="15"/>
      <c r="F45" s="15"/>
      <c r="G45" s="53"/>
      <c r="H45" s="53"/>
      <c r="I45" s="53"/>
      <c r="J45" s="160"/>
      <c r="K45" s="50"/>
      <c r="L45" s="50"/>
      <c r="M45" s="50"/>
      <c r="N45" s="50"/>
      <c r="O45" s="50"/>
      <c r="P45" s="50"/>
    </row>
    <row r="46" spans="1:22" x14ac:dyDescent="0.25">
      <c r="S46" s="4"/>
      <c r="T46" s="4"/>
      <c r="U46" s="4"/>
      <c r="V46" s="4"/>
    </row>
    <row r="47" spans="1:22" ht="15.75" x14ac:dyDescent="0.25">
      <c r="S47" s="16"/>
      <c r="T47" s="16"/>
      <c r="U47" s="16"/>
      <c r="V47" s="4"/>
    </row>
    <row r="48" spans="1:22" ht="22.15" customHeight="1" x14ac:dyDescent="0.25">
      <c r="A48" s="131" t="s">
        <v>66</v>
      </c>
      <c r="B48" s="131" t="s">
        <v>37</v>
      </c>
      <c r="C48" s="131" t="s">
        <v>38</v>
      </c>
      <c r="D48" s="131" t="s">
        <v>42</v>
      </c>
      <c r="E48" s="131" t="s">
        <v>39</v>
      </c>
      <c r="F48" s="131" t="s">
        <v>78</v>
      </c>
      <c r="Q48" s="16"/>
      <c r="R48" s="16"/>
      <c r="S48" s="16"/>
      <c r="T48" s="4"/>
    </row>
    <row r="49" spans="1:20" ht="22.15" customHeight="1" x14ac:dyDescent="0.25">
      <c r="A49" s="132"/>
      <c r="B49" s="131" t="s">
        <v>40</v>
      </c>
      <c r="C49" s="131" t="s">
        <v>41</v>
      </c>
      <c r="D49" s="131"/>
      <c r="E49" s="131"/>
      <c r="F49" s="131"/>
      <c r="Q49" s="16"/>
      <c r="R49" s="16"/>
      <c r="S49" s="16"/>
      <c r="T49" s="4"/>
    </row>
    <row r="50" spans="1:20" ht="15.75" x14ac:dyDescent="0.25">
      <c r="A50" s="10">
        <f>C37</f>
        <v>10</v>
      </c>
      <c r="B50" s="5">
        <f>1+PRODUCT(G37,(1/(20.9-G37)),(10.93/9.9))</f>
        <v>1.0528248997148519</v>
      </c>
      <c r="C50" s="5">
        <f>1+PRODUCT(H37,(1/(20.9-H37)),(10.93/9.9))</f>
        <v>1.0528248997148519</v>
      </c>
      <c r="D50" s="6">
        <f t="shared" ref="D50:D58" si="9">PRODUCT((C50-B50),(-1/(PRODUCT(B50,I37))),100)</f>
        <v>0</v>
      </c>
      <c r="E50" s="6">
        <f>AVERAGE(D$50:D$58)</f>
        <v>0</v>
      </c>
      <c r="F50" s="20">
        <f>STDEV(D50:D58)</f>
        <v>0</v>
      </c>
      <c r="Q50" s="16"/>
      <c r="R50" s="16"/>
      <c r="S50" s="16"/>
      <c r="T50" s="4"/>
    </row>
    <row r="51" spans="1:20" ht="15.75" x14ac:dyDescent="0.25">
      <c r="A51" s="10">
        <f t="shared" ref="A51:A58" si="10">C38</f>
        <v>21.25</v>
      </c>
      <c r="B51" s="5">
        <f t="shared" ref="B51:C58" si="11">1+PRODUCT(G38,(1/(20.9-G38)),(10.93/9.9))</f>
        <v>1.0528248997148519</v>
      </c>
      <c r="C51" s="5">
        <f t="shared" si="11"/>
        <v>1.0528248997148519</v>
      </c>
      <c r="D51" s="6">
        <f t="shared" si="9"/>
        <v>0</v>
      </c>
      <c r="E51" s="6">
        <f t="shared" ref="E51:E58" si="12">AVERAGE(D$50:D$58)</f>
        <v>0</v>
      </c>
      <c r="Q51" s="16"/>
      <c r="R51" s="16"/>
      <c r="S51" s="16"/>
      <c r="T51" s="4"/>
    </row>
    <row r="52" spans="1:20" ht="15.75" x14ac:dyDescent="0.25">
      <c r="A52" s="10">
        <f t="shared" si="10"/>
        <v>32.5</v>
      </c>
      <c r="B52" s="5">
        <f t="shared" si="11"/>
        <v>1.0528248997148519</v>
      </c>
      <c r="C52" s="5">
        <f t="shared" si="11"/>
        <v>1.0528248997148519</v>
      </c>
      <c r="D52" s="6">
        <f t="shared" si="9"/>
        <v>0</v>
      </c>
      <c r="E52" s="6">
        <f t="shared" si="12"/>
        <v>0</v>
      </c>
      <c r="Q52" s="16"/>
      <c r="R52" s="16"/>
      <c r="S52" s="16"/>
      <c r="T52" s="4"/>
    </row>
    <row r="53" spans="1:20" ht="15.75" x14ac:dyDescent="0.25">
      <c r="A53" s="10">
        <f t="shared" si="10"/>
        <v>43.75</v>
      </c>
      <c r="B53" s="5">
        <f t="shared" si="11"/>
        <v>1.0528248997148519</v>
      </c>
      <c r="C53" s="5">
        <f t="shared" si="11"/>
        <v>1.0528248997148519</v>
      </c>
      <c r="D53" s="6">
        <f t="shared" si="9"/>
        <v>0</v>
      </c>
      <c r="E53" s="6">
        <f t="shared" si="12"/>
        <v>0</v>
      </c>
      <c r="Q53" s="16"/>
      <c r="R53" s="16"/>
      <c r="S53" s="16"/>
      <c r="T53" s="4"/>
    </row>
    <row r="54" spans="1:20" ht="15.75" x14ac:dyDescent="0.25">
      <c r="A54" s="10">
        <f t="shared" si="10"/>
        <v>55.000000000000007</v>
      </c>
      <c r="B54" s="5">
        <f t="shared" si="11"/>
        <v>1.0528248997148519</v>
      </c>
      <c r="C54" s="5">
        <f t="shared" si="11"/>
        <v>1.0528248997148519</v>
      </c>
      <c r="D54" s="6">
        <f t="shared" si="9"/>
        <v>0</v>
      </c>
      <c r="E54" s="6">
        <f t="shared" si="12"/>
        <v>0</v>
      </c>
      <c r="J54" s="4"/>
      <c r="K54" s="4"/>
      <c r="L54" s="4"/>
      <c r="M54" s="4"/>
      <c r="N54" s="4"/>
      <c r="O54" s="4"/>
      <c r="P54" s="4"/>
      <c r="Q54" s="16"/>
      <c r="R54" s="16"/>
      <c r="S54" s="16"/>
      <c r="T54" s="4"/>
    </row>
    <row r="55" spans="1:20" ht="15.75" x14ac:dyDescent="0.25">
      <c r="A55" s="10">
        <f t="shared" si="10"/>
        <v>66.25</v>
      </c>
      <c r="B55" s="5">
        <f t="shared" si="11"/>
        <v>1.0528248997148519</v>
      </c>
      <c r="C55" s="5">
        <f t="shared" si="11"/>
        <v>1.0528248997148519</v>
      </c>
      <c r="D55" s="6">
        <f t="shared" si="9"/>
        <v>0</v>
      </c>
      <c r="E55" s="6">
        <f t="shared" si="12"/>
        <v>0</v>
      </c>
      <c r="J55" s="4"/>
      <c r="K55" s="17"/>
      <c r="L55" s="17"/>
      <c r="M55" s="17"/>
      <c r="N55" s="4"/>
      <c r="O55" s="16"/>
      <c r="P55" s="16"/>
      <c r="Q55" s="16"/>
      <c r="R55" s="16"/>
      <c r="S55" s="16"/>
      <c r="T55" s="4"/>
    </row>
    <row r="56" spans="1:20" ht="15.75" x14ac:dyDescent="0.25">
      <c r="A56" s="10">
        <f t="shared" si="10"/>
        <v>77.5</v>
      </c>
      <c r="B56" s="5">
        <f t="shared" si="11"/>
        <v>1.0528248997148519</v>
      </c>
      <c r="C56" s="5">
        <f t="shared" si="11"/>
        <v>1.0528248997148519</v>
      </c>
      <c r="D56" s="6">
        <f t="shared" si="9"/>
        <v>0</v>
      </c>
      <c r="E56" s="6">
        <f t="shared" si="12"/>
        <v>0</v>
      </c>
      <c r="J56" s="4"/>
      <c r="K56" s="17"/>
      <c r="L56" s="17"/>
      <c r="M56" s="17"/>
      <c r="N56" s="4"/>
      <c r="O56" s="16"/>
      <c r="P56" s="16"/>
      <c r="Q56" s="16"/>
      <c r="R56" s="4"/>
      <c r="S56" s="4"/>
      <c r="T56" s="4"/>
    </row>
    <row r="57" spans="1:20" ht="15.75" x14ac:dyDescent="0.25">
      <c r="A57" s="10">
        <f t="shared" si="10"/>
        <v>88.75</v>
      </c>
      <c r="B57" s="5">
        <f t="shared" si="11"/>
        <v>1.0528248997148519</v>
      </c>
      <c r="C57" s="5">
        <f t="shared" si="11"/>
        <v>1.0528248997148519</v>
      </c>
      <c r="D57" s="6">
        <f t="shared" si="9"/>
        <v>0</v>
      </c>
      <c r="E57" s="6">
        <f t="shared" si="12"/>
        <v>0</v>
      </c>
      <c r="J57" s="4"/>
      <c r="K57" s="17"/>
      <c r="L57" s="17"/>
      <c r="M57" s="17"/>
      <c r="N57" s="4"/>
      <c r="O57" s="16"/>
      <c r="P57" s="16"/>
      <c r="Q57" s="16"/>
      <c r="R57" s="4"/>
      <c r="S57" s="4"/>
      <c r="T57" s="4"/>
    </row>
    <row r="58" spans="1:20" ht="15.75" x14ac:dyDescent="0.25">
      <c r="A58" s="10">
        <f t="shared" si="10"/>
        <v>100</v>
      </c>
      <c r="B58" s="5">
        <f t="shared" si="11"/>
        <v>1.0528248997148519</v>
      </c>
      <c r="C58" s="5">
        <f t="shared" si="11"/>
        <v>1.0528248997148519</v>
      </c>
      <c r="D58" s="6">
        <f t="shared" si="9"/>
        <v>0</v>
      </c>
      <c r="E58" s="6">
        <f t="shared" si="12"/>
        <v>0</v>
      </c>
      <c r="J58" s="4"/>
      <c r="K58" s="17"/>
      <c r="L58" s="17"/>
      <c r="M58" s="17"/>
      <c r="N58" s="4"/>
      <c r="O58" s="16"/>
      <c r="P58" s="16"/>
      <c r="Q58" s="16"/>
    </row>
    <row r="59" spans="1:20" ht="15.75" x14ac:dyDescent="0.25">
      <c r="L59" s="4"/>
      <c r="M59" s="17"/>
      <c r="N59" s="17"/>
      <c r="O59" s="17"/>
      <c r="P59" s="4"/>
      <c r="Q59" s="16"/>
      <c r="R59" s="16"/>
      <c r="S59" s="16"/>
    </row>
    <row r="60" spans="1:20" ht="15.75" x14ac:dyDescent="0.25">
      <c r="L60" s="4"/>
      <c r="M60" s="17"/>
      <c r="N60" s="17"/>
      <c r="O60" s="17"/>
      <c r="P60" s="4"/>
      <c r="Q60" s="16"/>
      <c r="R60" s="16"/>
      <c r="S60" s="16"/>
    </row>
    <row r="61" spans="1:20" ht="15.75" x14ac:dyDescent="0.25">
      <c r="L61" s="4"/>
      <c r="M61" s="17"/>
      <c r="N61" s="17"/>
      <c r="O61" s="17"/>
      <c r="P61" s="4"/>
      <c r="Q61" s="16"/>
      <c r="R61" s="16"/>
      <c r="S61" s="16"/>
    </row>
    <row r="62" spans="1:20" ht="15.75" x14ac:dyDescent="0.25">
      <c r="L62" s="4"/>
      <c r="M62" s="17"/>
      <c r="N62" s="17"/>
      <c r="O62" s="17"/>
      <c r="P62" s="4"/>
      <c r="Q62" s="16"/>
      <c r="R62" s="16"/>
      <c r="S62" s="16"/>
    </row>
    <row r="63" spans="1:20" ht="15.75" x14ac:dyDescent="0.25">
      <c r="L63" s="4"/>
      <c r="M63" s="17"/>
      <c r="N63" s="17"/>
      <c r="O63" s="17"/>
      <c r="P63" s="4"/>
      <c r="Q63" s="16"/>
      <c r="R63" s="16"/>
      <c r="S63" s="16"/>
    </row>
    <row r="64" spans="1:20" x14ac:dyDescent="0.25">
      <c r="L64" s="4"/>
      <c r="M64" s="4"/>
      <c r="N64" s="4"/>
      <c r="O64" s="4"/>
      <c r="P64" s="4"/>
      <c r="Q64" s="4"/>
      <c r="R64" s="4"/>
      <c r="S64" s="4"/>
    </row>
    <row r="65" spans="12:19" x14ac:dyDescent="0.25">
      <c r="L65" s="4"/>
      <c r="M65" s="4"/>
      <c r="N65" s="4"/>
      <c r="O65" s="4"/>
      <c r="P65" s="4"/>
      <c r="Q65" s="4"/>
      <c r="R65" s="4"/>
      <c r="S65" s="4"/>
    </row>
    <row r="66" spans="12:19" x14ac:dyDescent="0.25">
      <c r="L66" s="4"/>
      <c r="M66" s="4"/>
      <c r="N66" s="4"/>
      <c r="O66" s="4"/>
      <c r="P66" s="4"/>
      <c r="Q66" s="4"/>
      <c r="R66" s="4"/>
      <c r="S66" s="4"/>
    </row>
  </sheetData>
  <mergeCells count="69">
    <mergeCell ref="A7:A12"/>
    <mergeCell ref="B7:K7"/>
    <mergeCell ref="L7:M7"/>
    <mergeCell ref="N7:P7"/>
    <mergeCell ref="B8:K8"/>
    <mergeCell ref="B10:K10"/>
    <mergeCell ref="L10:M10"/>
    <mergeCell ref="N10:P10"/>
    <mergeCell ref="L8:M8"/>
    <mergeCell ref="N8:P8"/>
    <mergeCell ref="B9:K9"/>
    <mergeCell ref="L9:M9"/>
    <mergeCell ref="N9:P9"/>
    <mergeCell ref="B11:K11"/>
    <mergeCell ref="L11:M11"/>
    <mergeCell ref="N11:P11"/>
    <mergeCell ref="L6:M6"/>
    <mergeCell ref="N6:P6"/>
    <mergeCell ref="B6:K6"/>
    <mergeCell ref="D2:L2"/>
    <mergeCell ref="D3:L3"/>
    <mergeCell ref="D4:L4"/>
    <mergeCell ref="B12:K12"/>
    <mergeCell ref="L12:M12"/>
    <mergeCell ref="N12:P12"/>
    <mergeCell ref="F18:G18"/>
    <mergeCell ref="B13:K13"/>
    <mergeCell ref="L13:M13"/>
    <mergeCell ref="N13:P13"/>
    <mergeCell ref="A18:A29"/>
    <mergeCell ref="A15:Q15"/>
    <mergeCell ref="A16:B17"/>
    <mergeCell ref="C16:C17"/>
    <mergeCell ref="D16:J17"/>
    <mergeCell ref="K16:P17"/>
    <mergeCell ref="Q16:Q17"/>
    <mergeCell ref="J32:J45"/>
    <mergeCell ref="K32:M33"/>
    <mergeCell ref="N32:P33"/>
    <mergeCell ref="A34:A45"/>
    <mergeCell ref="D35:F35"/>
    <mergeCell ref="G35:H35"/>
    <mergeCell ref="G36:I36"/>
    <mergeCell ref="K36:M36"/>
    <mergeCell ref="N36:P36"/>
    <mergeCell ref="A32:C33"/>
    <mergeCell ref="D32:F33"/>
    <mergeCell ref="G32:I33"/>
    <mergeCell ref="A48:A49"/>
    <mergeCell ref="B48:B49"/>
    <mergeCell ref="C48:C49"/>
    <mergeCell ref="D48:D49"/>
    <mergeCell ref="E48:E49"/>
    <mergeCell ref="Y5:Z5"/>
    <mergeCell ref="R6:W6"/>
    <mergeCell ref="AB11:AC11"/>
    <mergeCell ref="F48:F49"/>
    <mergeCell ref="Y6:Z6"/>
    <mergeCell ref="R7:W7"/>
    <mergeCell ref="R8:W8"/>
    <mergeCell ref="Y7:Z7"/>
    <mergeCell ref="Y8:Z8"/>
    <mergeCell ref="R9:W9"/>
    <mergeCell ref="Y9:Z9"/>
    <mergeCell ref="R10:W10"/>
    <mergeCell ref="Y10:Z10"/>
    <mergeCell ref="R11:W11"/>
    <mergeCell ref="Y11:Z11"/>
    <mergeCell ref="A31:P31"/>
  </mergeCells>
  <conditionalFormatting sqref="C16:C17 C19">
    <cfRule type="expression" dxfId="8" priority="10">
      <formula>$N$13="N"</formula>
    </cfRule>
  </conditionalFormatting>
  <conditionalFormatting sqref="C20:C29">
    <cfRule type="expression" dxfId="7" priority="8">
      <formula>$N$13="M"</formula>
    </cfRule>
    <cfRule type="expression" dxfId="6" priority="9">
      <formula>$N$13="A"</formula>
    </cfRule>
  </conditionalFormatting>
  <conditionalFormatting sqref="N7:P7">
    <cfRule type="expression" dxfId="5" priority="3">
      <formula>$N$13="A"</formula>
    </cfRule>
    <cfRule type="expression" dxfId="4" priority="4">
      <formula>$N$13="M"</formula>
    </cfRule>
  </conditionalFormatting>
  <conditionalFormatting sqref="Y6:Z6">
    <cfRule type="expression" dxfId="3" priority="1">
      <formula>$N$13="A"</formula>
    </cfRule>
    <cfRule type="expression" dxfId="2" priority="2">
      <formula>$N$13="M"</formula>
    </cfRule>
  </conditionalFormatting>
  <pageMargins left="0.7" right="0.7" top="0.75" bottom="0.75" header="0.3" footer="0.3"/>
  <pageSetup paperSize="17" scale="8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20"/>
  <sheetViews>
    <sheetView workbookViewId="0">
      <selection activeCell="K23" sqref="K23"/>
    </sheetView>
  </sheetViews>
  <sheetFormatPr defaultRowHeight="15" x14ac:dyDescent="0.25"/>
  <cols>
    <col min="1" max="1" width="3.7109375" customWidth="1"/>
    <col min="5" max="5" width="12.7109375" customWidth="1"/>
    <col min="6" max="6" width="13" customWidth="1"/>
    <col min="9" max="9" width="13.28515625" customWidth="1"/>
  </cols>
  <sheetData>
    <row r="3" spans="2:9" x14ac:dyDescent="0.25">
      <c r="B3" s="94" t="s">
        <v>112</v>
      </c>
      <c r="C3" s="87"/>
      <c r="D3" s="87"/>
      <c r="E3" s="87"/>
      <c r="F3" s="87"/>
      <c r="G3" s="87"/>
      <c r="H3" s="87"/>
      <c r="I3" s="87"/>
    </row>
    <row r="4" spans="2:9" x14ac:dyDescent="0.25">
      <c r="B4" s="97" t="s">
        <v>110</v>
      </c>
      <c r="C4" s="97"/>
      <c r="D4" s="97"/>
      <c r="E4" s="97"/>
      <c r="F4" s="97"/>
      <c r="G4" s="94" t="s">
        <v>0</v>
      </c>
      <c r="H4" s="94"/>
      <c r="I4" s="56" t="s">
        <v>1</v>
      </c>
    </row>
    <row r="5" spans="2:9" ht="14.45" customHeight="1" x14ac:dyDescent="0.25">
      <c r="B5" s="98" t="s">
        <v>105</v>
      </c>
      <c r="C5" s="98"/>
      <c r="D5" s="98"/>
      <c r="E5" s="98"/>
      <c r="F5" s="98"/>
      <c r="G5" s="94" t="s">
        <v>102</v>
      </c>
      <c r="H5" s="98"/>
      <c r="I5" s="57">
        <v>80</v>
      </c>
    </row>
    <row r="6" spans="2:9" x14ac:dyDescent="0.25">
      <c r="B6" s="98" t="s">
        <v>103</v>
      </c>
      <c r="C6" s="98"/>
      <c r="D6" s="98"/>
      <c r="E6" s="98"/>
      <c r="F6" s="98"/>
      <c r="G6" s="94" t="s">
        <v>104</v>
      </c>
      <c r="H6" s="98"/>
      <c r="I6" s="57">
        <v>30</v>
      </c>
    </row>
    <row r="7" spans="2:9" x14ac:dyDescent="0.25">
      <c r="B7" s="97" t="s">
        <v>111</v>
      </c>
      <c r="C7" s="87"/>
      <c r="D7" s="87"/>
      <c r="E7" s="87"/>
      <c r="F7" s="87"/>
      <c r="G7" s="142"/>
      <c r="H7" s="168"/>
      <c r="I7" s="124"/>
    </row>
    <row r="8" spans="2:9" x14ac:dyDescent="0.25">
      <c r="B8" s="98" t="s">
        <v>106</v>
      </c>
      <c r="C8" s="98"/>
      <c r="D8" s="98"/>
      <c r="E8" s="98"/>
      <c r="F8" s="98"/>
      <c r="G8" s="94" t="s">
        <v>102</v>
      </c>
      <c r="H8" s="98"/>
      <c r="I8" s="57">
        <v>120</v>
      </c>
    </row>
    <row r="9" spans="2:9" x14ac:dyDescent="0.25">
      <c r="B9" s="98" t="s">
        <v>107</v>
      </c>
      <c r="C9" s="98"/>
      <c r="D9" s="98"/>
      <c r="E9" s="98"/>
      <c r="F9" s="98"/>
      <c r="G9" s="94" t="s">
        <v>102</v>
      </c>
      <c r="H9" s="98"/>
      <c r="I9" s="57">
        <v>30</v>
      </c>
    </row>
    <row r="10" spans="2:9" x14ac:dyDescent="0.25">
      <c r="B10" s="97" t="s">
        <v>111</v>
      </c>
      <c r="C10" s="87"/>
      <c r="D10" s="87"/>
      <c r="E10" s="87"/>
      <c r="F10" s="87"/>
      <c r="G10" s="142"/>
      <c r="H10" s="168"/>
      <c r="I10" s="124"/>
    </row>
    <row r="11" spans="2:9" x14ac:dyDescent="0.25">
      <c r="B11" s="98" t="s">
        <v>108</v>
      </c>
      <c r="C11" s="98"/>
      <c r="D11" s="98"/>
      <c r="E11" s="98"/>
      <c r="F11" s="98"/>
      <c r="G11" s="94" t="s">
        <v>104</v>
      </c>
      <c r="H11" s="98"/>
      <c r="I11" s="57">
        <v>31.5</v>
      </c>
    </row>
    <row r="12" spans="2:9" x14ac:dyDescent="0.25">
      <c r="B12" s="98" t="s">
        <v>109</v>
      </c>
      <c r="C12" s="98"/>
      <c r="D12" s="98"/>
      <c r="E12" s="98"/>
      <c r="F12" s="98"/>
      <c r="G12" s="94" t="s">
        <v>104</v>
      </c>
      <c r="H12" s="98"/>
      <c r="I12" s="57">
        <v>28</v>
      </c>
    </row>
    <row r="15" spans="2:9" ht="15.75" x14ac:dyDescent="0.25">
      <c r="B15" s="166" t="s">
        <v>113</v>
      </c>
      <c r="C15" s="166"/>
      <c r="D15" s="166"/>
      <c r="E15" s="166"/>
      <c r="F15" s="166"/>
      <c r="G15" s="167" t="s">
        <v>114</v>
      </c>
      <c r="H15" s="166"/>
      <c r="I15" s="58">
        <f>100-(I$12/I$6)*(459.67+I$5)/(459.67+I$8)*100</f>
        <v>13.107112667552229</v>
      </c>
    </row>
    <row r="16" spans="2:9" ht="15.75" x14ac:dyDescent="0.25">
      <c r="B16" s="166" t="s">
        <v>113</v>
      </c>
      <c r="C16" s="166"/>
      <c r="D16" s="166"/>
      <c r="E16" s="166"/>
      <c r="F16" s="166"/>
      <c r="G16" s="167" t="s">
        <v>114</v>
      </c>
      <c r="H16" s="166"/>
      <c r="I16" s="58">
        <f>100-(I$11/I$6)*(459.67+I$5)/(459.67+I$9)*100</f>
        <v>-15.721506320583273</v>
      </c>
    </row>
    <row r="19" spans="2:9" ht="15.75" x14ac:dyDescent="0.25">
      <c r="B19" s="166" t="s">
        <v>115</v>
      </c>
      <c r="C19" s="166"/>
      <c r="D19" s="166"/>
      <c r="E19" s="166"/>
      <c r="F19" s="166"/>
      <c r="G19" s="167" t="s">
        <v>114</v>
      </c>
      <c r="H19" s="166"/>
      <c r="I19" s="58">
        <f>I15+5</f>
        <v>18.107112667552229</v>
      </c>
    </row>
    <row r="20" spans="2:9" ht="15.75" x14ac:dyDescent="0.25">
      <c r="B20" s="166" t="s">
        <v>116</v>
      </c>
      <c r="C20" s="166"/>
      <c r="D20" s="166"/>
      <c r="E20" s="166"/>
      <c r="F20" s="166"/>
      <c r="G20" s="167" t="s">
        <v>114</v>
      </c>
      <c r="H20" s="166"/>
      <c r="I20" s="58">
        <f>I16-5</f>
        <v>-20.721506320583273</v>
      </c>
    </row>
  </sheetData>
  <mergeCells count="27">
    <mergeCell ref="B5:F5"/>
    <mergeCell ref="G5:H5"/>
    <mergeCell ref="B6:F6"/>
    <mergeCell ref="G6:H6"/>
    <mergeCell ref="B11:F11"/>
    <mergeCell ref="G11:H11"/>
    <mergeCell ref="B12:F12"/>
    <mergeCell ref="B8:F8"/>
    <mergeCell ref="G8:H8"/>
    <mergeCell ref="B9:F9"/>
    <mergeCell ref="G9:H9"/>
    <mergeCell ref="B19:F19"/>
    <mergeCell ref="G19:H19"/>
    <mergeCell ref="B20:F20"/>
    <mergeCell ref="G20:H20"/>
    <mergeCell ref="B3:I3"/>
    <mergeCell ref="G7:I7"/>
    <mergeCell ref="G10:I10"/>
    <mergeCell ref="B15:F15"/>
    <mergeCell ref="G15:H15"/>
    <mergeCell ref="B16:F16"/>
    <mergeCell ref="G16:H16"/>
    <mergeCell ref="G12:H12"/>
    <mergeCell ref="B4:F4"/>
    <mergeCell ref="B7:F7"/>
    <mergeCell ref="B10:F10"/>
    <mergeCell ref="G4:H4"/>
  </mergeCells>
  <conditionalFormatting sqref="I5">
    <cfRule type="expression" dxfId="1" priority="5">
      <formula>#REF!="A"</formula>
    </cfRule>
    <cfRule type="expression" dxfId="0" priority="6">
      <formula>#REF!="M"</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049" r:id="rId4">
          <objectPr defaultSize="0" autoPict="0" r:id="rId5">
            <anchor moveWithCells="1">
              <from>
                <xdr:col>1</xdr:col>
                <xdr:colOff>57150</xdr:colOff>
                <xdr:row>21</xdr:row>
                <xdr:rowOff>28575</xdr:rowOff>
              </from>
              <to>
                <xdr:col>8</xdr:col>
                <xdr:colOff>809625</xdr:colOff>
                <xdr:row>26</xdr:row>
                <xdr:rowOff>47625</xdr:rowOff>
              </to>
            </anchor>
          </objectPr>
        </oleObject>
      </mc:Choice>
      <mc:Fallback>
        <oleObject progId="Equation.3"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 INFO-INSTRUCTIONS</vt:lpstr>
      <vt:lpstr>LMV3 Basic</vt:lpstr>
      <vt:lpstr>LMV51 Basic</vt:lpstr>
      <vt:lpstr>LMV52 O2 Trim</vt:lpstr>
      <vt:lpstr>LMV52 O2 Trim Mesh Burner</vt:lpstr>
      <vt:lpstr>Manipulated Variable</vt:lpstr>
      <vt:lpstr>'LMV3 Basic'!Print_Area</vt:lpstr>
      <vt:lpstr>'LMV51 Basic'!Print_Area</vt:lpstr>
      <vt:lpstr>'LMV52 O2 Trim'!Print_Area</vt:lpstr>
      <vt:lpstr>'LMV52 O2 Trim Mesh Burner'!Print_Area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pinto</dc:creator>
  <cp:lastModifiedBy>Daniel Perkins</cp:lastModifiedBy>
  <cp:lastPrinted>2015-03-26T20:00:18Z</cp:lastPrinted>
  <dcterms:created xsi:type="dcterms:W3CDTF">2013-03-18T20:08:27Z</dcterms:created>
  <dcterms:modified xsi:type="dcterms:W3CDTF">2015-07-09T14:19:19Z</dcterms:modified>
</cp:coreProperties>
</file>